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12960" windowHeight="5805" tabRatio="603"/>
  </bookViews>
  <sheets>
    <sheet name="بورصة عمان" sheetId="9" r:id="rId1"/>
    <sheet name="59a" sheetId="2" r:id="rId2"/>
    <sheet name="59b" sheetId="3" r:id="rId3"/>
    <sheet name="60a" sheetId="5" r:id="rId4"/>
    <sheet name="60b" sheetId="6" r:id="rId5"/>
    <sheet name="61" sheetId="4" r:id="rId6"/>
    <sheet name="62a" sheetId="7" r:id="rId7"/>
    <sheet name="62b" sheetId="8" r:id="rId8"/>
  </sheets>
  <externalReferences>
    <externalReference r:id="rId9"/>
  </externalReferences>
  <definedNames>
    <definedName name="FrequencyList">'[1]Report Form'!$F$4:$F$8</definedName>
    <definedName name="PeriodList">'[1]Report Form'!$E$4:$E$76</definedName>
    <definedName name="_xlnm.Print_Area" localSheetId="1">'59a'!$B$3:$P$304</definedName>
    <definedName name="_xlnm.Print_Area" localSheetId="2">'59b'!$B$1:$O$302</definedName>
    <definedName name="_xlnm.Print_Area" localSheetId="3">'60a'!$B$2:$P$300</definedName>
    <definedName name="_xlnm.Print_Area" localSheetId="4">'60b'!$B$2:$P$301</definedName>
    <definedName name="_xlnm.Print_Area" localSheetId="5">'61'!$B$3:$L$388</definedName>
    <definedName name="_xlnm.Print_Area" localSheetId="6">'62a'!$A$1:$P$33</definedName>
    <definedName name="_xlnm.Print_Area" localSheetId="7">'62b'!$A$1:$O$33</definedName>
    <definedName name="_xlnm.Print_Area" localSheetId="0">'بورصة عمان'!$B$3:$D$12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97" i="2" l="1"/>
  <c r="G297" i="2"/>
  <c r="N296" i="3"/>
  <c r="O296" i="3" l="1"/>
  <c r="L384" i="4"/>
  <c r="J384" i="4"/>
  <c r="H384" i="4"/>
  <c r="F384" i="4"/>
  <c r="D384" i="4"/>
  <c r="P296" i="6"/>
  <c r="P295" i="6"/>
  <c r="D383" i="4"/>
  <c r="F383" i="4"/>
  <c r="H383" i="4"/>
  <c r="J383" i="4"/>
  <c r="L383" i="4"/>
  <c r="N295" i="3"/>
  <c r="O295" i="3"/>
  <c r="N294" i="3"/>
  <c r="O294" i="3"/>
  <c r="P296" i="2"/>
  <c r="G296" i="2"/>
  <c r="P295" i="2"/>
  <c r="G295" i="2"/>
  <c r="L382" i="4"/>
  <c r="J382" i="4"/>
  <c r="H382" i="4"/>
  <c r="F382" i="4"/>
  <c r="D382" i="4"/>
  <c r="P294" i="6"/>
  <c r="L381" i="4"/>
  <c r="J381" i="4"/>
  <c r="H381" i="4"/>
  <c r="F381" i="4"/>
  <c r="D381" i="4"/>
  <c r="P293" i="6"/>
  <c r="N293" i="3"/>
  <c r="P294" i="2"/>
  <c r="G294" i="2"/>
  <c r="O293" i="3"/>
  <c r="L380" i="4"/>
  <c r="J380" i="4"/>
  <c r="H380" i="4"/>
  <c r="F380" i="4"/>
  <c r="D380" i="4"/>
  <c r="P292" i="6"/>
  <c r="N292" i="3"/>
  <c r="P293" i="2"/>
  <c r="O292" i="3"/>
  <c r="G293" i="2"/>
  <c r="L379" i="4"/>
  <c r="J379" i="4"/>
  <c r="H379" i="4"/>
  <c r="F379" i="4"/>
  <c r="D379" i="4"/>
  <c r="P291" i="6"/>
  <c r="N291" i="3"/>
  <c r="P292" i="2"/>
  <c r="G292" i="2"/>
  <c r="O291" i="3"/>
  <c r="P290" i="6"/>
  <c r="L378" i="4"/>
  <c r="J378" i="4"/>
  <c r="H378" i="4"/>
  <c r="F378" i="4"/>
  <c r="D378" i="4"/>
  <c r="N290" i="3"/>
  <c r="P291" i="2"/>
  <c r="G291" i="2"/>
  <c r="O290" i="3"/>
  <c r="L377" i="4"/>
  <c r="D377" i="4"/>
  <c r="J377" i="4"/>
  <c r="H377" i="4"/>
  <c r="F377" i="4"/>
  <c r="P286" i="6"/>
  <c r="P289" i="6"/>
  <c r="N289" i="3"/>
  <c r="P290" i="2"/>
  <c r="G290" i="2"/>
  <c r="O289" i="3"/>
  <c r="D376" i="4"/>
  <c r="F376" i="4"/>
  <c r="H376" i="4"/>
  <c r="J376" i="4"/>
  <c r="L376" i="4"/>
  <c r="L374" i="4"/>
  <c r="P288" i="6"/>
  <c r="P275" i="6"/>
  <c r="N288" i="3"/>
  <c r="O288" i="3"/>
  <c r="P289" i="2"/>
  <c r="G289" i="2"/>
  <c r="L37" i="4"/>
  <c r="J37" i="4"/>
  <c r="H37" i="4"/>
  <c r="F37" i="4"/>
  <c r="D36" i="4"/>
  <c r="D37" i="4"/>
  <c r="H374" i="4"/>
  <c r="F374" i="4"/>
  <c r="D374" i="4"/>
  <c r="J374" i="4"/>
  <c r="N286" i="3"/>
  <c r="P287" i="2"/>
  <c r="G287" i="2"/>
  <c r="O286" i="3"/>
  <c r="N285" i="3"/>
  <c r="L373" i="4"/>
  <c r="J373" i="4"/>
  <c r="H373" i="4"/>
  <c r="F373" i="4"/>
  <c r="D373" i="4"/>
  <c r="P285" i="6"/>
  <c r="P286" i="2"/>
  <c r="G286" i="2"/>
  <c r="O285" i="3"/>
  <c r="L372" i="4"/>
  <c r="J372" i="4"/>
  <c r="H372" i="4"/>
  <c r="F372" i="4"/>
  <c r="D372" i="4"/>
  <c r="P284" i="6"/>
  <c r="N284" i="3"/>
  <c r="P285" i="2"/>
  <c r="G285" i="2"/>
  <c r="O284" i="3"/>
  <c r="L371" i="4"/>
  <c r="J371" i="4"/>
  <c r="H371" i="4"/>
  <c r="F371" i="4"/>
  <c r="D371" i="4"/>
  <c r="P283" i="6"/>
  <c r="N283" i="3"/>
  <c r="P284" i="2"/>
  <c r="G284" i="2"/>
  <c r="O283" i="3"/>
  <c r="D370" i="4"/>
  <c r="F370" i="4"/>
  <c r="H370" i="4"/>
  <c r="J370" i="4"/>
  <c r="L370" i="4"/>
  <c r="P282" i="6"/>
  <c r="N282" i="3"/>
  <c r="P283" i="2"/>
  <c r="G283" i="2"/>
  <c r="O282" i="3"/>
  <c r="L369" i="4"/>
  <c r="J369" i="4"/>
  <c r="H369" i="4"/>
  <c r="F369" i="4"/>
  <c r="D369" i="4"/>
  <c r="P281" i="6"/>
  <c r="N281" i="3"/>
  <c r="G282" i="2"/>
  <c r="G281" i="2"/>
  <c r="P282" i="2"/>
  <c r="O281" i="3"/>
  <c r="L368" i="4"/>
  <c r="D368" i="4"/>
  <c r="F368" i="4"/>
  <c r="H368" i="4"/>
  <c r="J368" i="4"/>
  <c r="D367" i="4"/>
  <c r="P280" i="6"/>
  <c r="P279" i="6"/>
  <c r="N280" i="3"/>
  <c r="P281" i="2"/>
  <c r="P280" i="2"/>
  <c r="O280" i="3"/>
  <c r="L367" i="4"/>
  <c r="J367" i="4"/>
  <c r="H367" i="4"/>
  <c r="F367" i="4"/>
  <c r="N279" i="3"/>
  <c r="G280" i="2"/>
  <c r="O279" i="3"/>
  <c r="L366" i="4"/>
  <c r="J366" i="4"/>
  <c r="H366" i="4"/>
  <c r="F366" i="4"/>
  <c r="D366" i="4"/>
  <c r="P278" i="6"/>
  <c r="N278" i="3"/>
  <c r="P279" i="2"/>
  <c r="G279" i="2"/>
  <c r="O278" i="3"/>
  <c r="L365" i="4"/>
  <c r="J365" i="4"/>
  <c r="H365" i="4"/>
  <c r="F365" i="4"/>
  <c r="D365" i="4"/>
  <c r="P277" i="6"/>
  <c r="N277" i="3"/>
  <c r="P278" i="2"/>
  <c r="G278" i="2"/>
  <c r="O277" i="3"/>
  <c r="D364" i="4"/>
  <c r="F364" i="4"/>
  <c r="H364" i="4"/>
  <c r="J364" i="4"/>
  <c r="L364" i="4"/>
  <c r="D361" i="4"/>
  <c r="P276" i="6"/>
  <c r="P273" i="6"/>
  <c r="N276" i="3"/>
  <c r="P277" i="2"/>
  <c r="G277" i="2"/>
  <c r="O276" i="3"/>
  <c r="J352" i="4"/>
  <c r="F352" i="4"/>
  <c r="D352" i="4"/>
  <c r="D351" i="4"/>
  <c r="D363" i="4"/>
  <c r="F363" i="4"/>
  <c r="H363" i="4"/>
  <c r="J363" i="4"/>
  <c r="L361" i="4"/>
  <c r="L363" i="4"/>
  <c r="N275" i="3"/>
  <c r="P276" i="2"/>
  <c r="G276" i="2"/>
  <c r="O275" i="3"/>
  <c r="F36" i="4"/>
  <c r="H36" i="4"/>
  <c r="J36" i="4"/>
  <c r="L36" i="4"/>
  <c r="F361" i="4"/>
  <c r="H361" i="4"/>
  <c r="J361" i="4"/>
  <c r="N273" i="3"/>
  <c r="P274" i="2"/>
  <c r="G274" i="2"/>
  <c r="O273" i="3"/>
  <c r="L360" i="4"/>
  <c r="J360" i="4"/>
  <c r="H360" i="4"/>
  <c r="F360" i="4"/>
  <c r="D360" i="4"/>
  <c r="P272" i="6"/>
  <c r="N272" i="3"/>
  <c r="P273" i="2"/>
  <c r="G273" i="2"/>
  <c r="O272" i="3"/>
  <c r="D359" i="4"/>
  <c r="F359" i="4"/>
  <c r="H359" i="4"/>
  <c r="J359" i="4"/>
  <c r="L359" i="4"/>
  <c r="N271" i="3"/>
  <c r="P272" i="2"/>
  <c r="G272" i="2"/>
  <c r="O271" i="3"/>
  <c r="P271" i="6"/>
  <c r="P270" i="6"/>
  <c r="P269" i="6"/>
  <c r="G269" i="2"/>
  <c r="G270" i="2"/>
  <c r="G271" i="2"/>
  <c r="P270" i="2"/>
  <c r="P271" i="2"/>
  <c r="N269" i="3"/>
  <c r="O269" i="3"/>
  <c r="L358" i="4"/>
  <c r="J358" i="4"/>
  <c r="H358" i="4"/>
  <c r="F358" i="4"/>
  <c r="D358" i="4"/>
  <c r="N270" i="3"/>
  <c r="O270" i="3"/>
  <c r="L357" i="4"/>
  <c r="J357" i="4"/>
  <c r="H357" i="4"/>
  <c r="F357" i="4"/>
  <c r="D357" i="4"/>
  <c r="D356" i="4"/>
  <c r="P268" i="6"/>
  <c r="F356" i="4"/>
  <c r="H356" i="4"/>
  <c r="J356" i="4"/>
  <c r="L356" i="4"/>
  <c r="P267" i="6"/>
  <c r="N268" i="3"/>
  <c r="P269" i="2"/>
  <c r="P268" i="2"/>
  <c r="L355" i="4"/>
  <c r="J355" i="4"/>
  <c r="H355" i="4"/>
  <c r="F355" i="4"/>
  <c r="D355" i="4"/>
  <c r="D354" i="4"/>
  <c r="P266" i="6"/>
  <c r="N267" i="3"/>
  <c r="G268" i="2"/>
  <c r="L354" i="4"/>
  <c r="J354" i="4"/>
  <c r="H354" i="4"/>
  <c r="F354" i="4"/>
  <c r="N266" i="3"/>
  <c r="P267" i="2"/>
  <c r="G267" i="2"/>
  <c r="L353" i="4"/>
  <c r="J353" i="4"/>
  <c r="H353" i="4"/>
  <c r="F353" i="4"/>
  <c r="D353" i="4"/>
  <c r="P265" i="6"/>
  <c r="N265" i="3"/>
  <c r="P266" i="2"/>
  <c r="G266" i="2"/>
  <c r="L352" i="4"/>
  <c r="H352" i="4"/>
  <c r="P264" i="6"/>
  <c r="N264" i="3"/>
  <c r="G265" i="2"/>
  <c r="P265" i="2"/>
  <c r="L351" i="4"/>
  <c r="J351" i="4"/>
  <c r="H351" i="4"/>
  <c r="F351" i="4"/>
  <c r="P262" i="6"/>
  <c r="P263" i="6"/>
  <c r="N263" i="3"/>
  <c r="P264" i="2"/>
  <c r="G264" i="2"/>
  <c r="N262" i="3"/>
  <c r="N260" i="3"/>
  <c r="N259" i="3"/>
  <c r="N258" i="3"/>
  <c r="P263" i="2"/>
  <c r="P261" i="2"/>
  <c r="P260" i="2"/>
  <c r="P259" i="2"/>
  <c r="P257" i="2"/>
  <c r="G263" i="2"/>
  <c r="G261" i="2"/>
  <c r="G260" i="2"/>
  <c r="G259" i="2"/>
  <c r="G258" i="2"/>
  <c r="P234" i="6"/>
  <c r="P233" i="6"/>
  <c r="P232" i="6"/>
  <c r="P231" i="6"/>
  <c r="P230" i="6"/>
  <c r="P229" i="6"/>
  <c r="P228" i="6"/>
  <c r="P227" i="6"/>
  <c r="P226" i="6"/>
  <c r="P225" i="6"/>
  <c r="P224" i="6"/>
  <c r="P223" i="6"/>
  <c r="P211" i="6"/>
  <c r="P221" i="6"/>
  <c r="P220" i="6"/>
  <c r="P219" i="6"/>
  <c r="P218" i="6"/>
  <c r="P217" i="6"/>
  <c r="P216" i="6"/>
  <c r="P215" i="6"/>
  <c r="P214" i="6"/>
  <c r="P213" i="6"/>
  <c r="P212" i="6"/>
  <c r="P209" i="6"/>
  <c r="P208" i="6"/>
  <c r="P207" i="6"/>
  <c r="P206" i="6"/>
  <c r="P205" i="6"/>
  <c r="P204" i="6"/>
  <c r="P203" i="6"/>
  <c r="P202" i="6"/>
  <c r="P201" i="6"/>
  <c r="P200" i="6"/>
  <c r="P199" i="6"/>
  <c r="P198" i="6"/>
  <c r="P196" i="6"/>
  <c r="P195" i="6"/>
  <c r="P194" i="6"/>
  <c r="P193" i="6"/>
  <c r="P192" i="6"/>
  <c r="P191" i="6"/>
  <c r="P190" i="6"/>
  <c r="P189" i="6"/>
  <c r="P188" i="6"/>
  <c r="P187" i="6"/>
  <c r="P186" i="6"/>
  <c r="P185" i="6"/>
  <c r="P183" i="6"/>
  <c r="P182" i="6"/>
  <c r="P181" i="6"/>
  <c r="P180" i="6"/>
  <c r="P179" i="6"/>
  <c r="P178" i="6"/>
  <c r="P177" i="6"/>
  <c r="P176" i="6"/>
  <c r="P175" i="6"/>
  <c r="P174" i="6"/>
  <c r="P173" i="6"/>
  <c r="P172" i="6"/>
  <c r="P170" i="6"/>
  <c r="P169" i="6"/>
  <c r="P168" i="6"/>
  <c r="P167" i="6"/>
  <c r="P166" i="6"/>
  <c r="P165" i="6"/>
  <c r="P164" i="6"/>
  <c r="P163" i="6"/>
  <c r="P162" i="6"/>
  <c r="P161" i="6"/>
  <c r="P160" i="6"/>
  <c r="P159" i="6"/>
  <c r="P157" i="6"/>
  <c r="P156" i="6"/>
  <c r="P155" i="6"/>
  <c r="P154" i="6"/>
  <c r="P153" i="6"/>
  <c r="P152" i="6"/>
  <c r="P151" i="6"/>
  <c r="P150" i="6"/>
  <c r="P149" i="6"/>
  <c r="P148" i="6"/>
  <c r="P147" i="6"/>
  <c r="P146" i="6"/>
  <c r="P144" i="6"/>
  <c r="P143" i="6"/>
  <c r="P142" i="6"/>
  <c r="P141" i="6"/>
  <c r="P140" i="6"/>
  <c r="P139" i="6"/>
  <c r="P138" i="6"/>
  <c r="P137" i="6"/>
  <c r="P136" i="6"/>
  <c r="P135" i="6"/>
  <c r="P134" i="6"/>
  <c r="P133" i="6"/>
  <c r="P131" i="6"/>
  <c r="P130" i="6"/>
  <c r="P129" i="6"/>
  <c r="P128" i="6"/>
  <c r="P127" i="6"/>
  <c r="P126" i="6"/>
  <c r="P125" i="6"/>
  <c r="P124" i="6"/>
  <c r="P123" i="6"/>
  <c r="P122" i="6"/>
  <c r="P121" i="6"/>
  <c r="P120" i="6"/>
  <c r="P118" i="6"/>
  <c r="P117" i="6"/>
  <c r="P116" i="6"/>
  <c r="P115" i="6"/>
  <c r="P114" i="6"/>
  <c r="P113" i="6"/>
  <c r="P112" i="6"/>
  <c r="P111" i="6"/>
  <c r="P110" i="6"/>
  <c r="P109" i="6"/>
  <c r="P108" i="6"/>
  <c r="P107" i="6"/>
  <c r="P105" i="6"/>
  <c r="P104" i="6"/>
  <c r="P103" i="6"/>
  <c r="P102" i="6"/>
  <c r="P101" i="6"/>
  <c r="P100" i="6"/>
  <c r="P99" i="6"/>
  <c r="P98" i="6"/>
  <c r="P97" i="6"/>
  <c r="P96" i="6"/>
  <c r="P95" i="6"/>
  <c r="P94" i="6"/>
  <c r="P92" i="6"/>
  <c r="P91" i="6"/>
  <c r="P90" i="6"/>
  <c r="P89" i="6"/>
  <c r="P88" i="6"/>
  <c r="P87" i="6"/>
  <c r="P86" i="6"/>
  <c r="P85" i="6"/>
  <c r="P84" i="6"/>
  <c r="P83" i="6"/>
  <c r="P82" i="6"/>
  <c r="P81" i="6"/>
  <c r="P79" i="6"/>
  <c r="P78" i="6"/>
  <c r="P77" i="6"/>
  <c r="P76" i="6"/>
  <c r="P75" i="6"/>
  <c r="P74" i="6"/>
  <c r="P73" i="6"/>
  <c r="P72" i="6"/>
  <c r="P71" i="6"/>
  <c r="P70" i="6"/>
  <c r="P69" i="6"/>
  <c r="P68" i="6"/>
  <c r="P66" i="6"/>
  <c r="P65" i="6"/>
  <c r="P64" i="6"/>
  <c r="P63" i="6"/>
  <c r="P62" i="6"/>
  <c r="P61" i="6"/>
  <c r="P60" i="6"/>
  <c r="P59" i="6"/>
  <c r="P58" i="6"/>
  <c r="P57" i="6"/>
  <c r="P56" i="6"/>
  <c r="P55" i="6"/>
  <c r="P42" i="6"/>
  <c r="P53" i="6"/>
  <c r="P52" i="6"/>
  <c r="P51" i="6"/>
  <c r="P50" i="6"/>
  <c r="P49" i="6"/>
  <c r="P48" i="6"/>
  <c r="P47" i="6"/>
  <c r="P46" i="6"/>
  <c r="P45" i="6"/>
  <c r="P44" i="6"/>
  <c r="P43" i="6"/>
  <c r="P236" i="6"/>
  <c r="P244" i="6"/>
  <c r="P245" i="6"/>
  <c r="P246" i="6"/>
  <c r="P247" i="6"/>
  <c r="P243" i="6"/>
  <c r="P242" i="6"/>
  <c r="P239" i="6"/>
  <c r="P238" i="6"/>
  <c r="P237" i="6"/>
  <c r="P241" i="6"/>
  <c r="P240" i="6"/>
  <c r="P249" i="6"/>
  <c r="P256" i="6"/>
  <c r="P255" i="6"/>
  <c r="P254" i="6"/>
  <c r="P253" i="6"/>
  <c r="P252" i="6"/>
  <c r="P251" i="6"/>
  <c r="P250" i="6"/>
  <c r="P257" i="6"/>
  <c r="N257" i="3"/>
  <c r="N256" i="3"/>
  <c r="N255" i="3"/>
  <c r="P258" i="2"/>
  <c r="P256" i="2"/>
  <c r="G257" i="2"/>
  <c r="G256" i="2"/>
  <c r="N254" i="3"/>
  <c r="N253" i="3"/>
  <c r="N252" i="3"/>
  <c r="N251" i="3"/>
  <c r="N250" i="3"/>
  <c r="N249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1" i="3"/>
  <c r="N220" i="3"/>
  <c r="N219" i="3"/>
  <c r="N218" i="3"/>
  <c r="N217" i="3"/>
  <c r="N216" i="3"/>
  <c r="N215" i="3"/>
  <c r="N214" i="3"/>
  <c r="N213" i="3"/>
  <c r="N212" i="3"/>
  <c r="N211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G173" i="2"/>
  <c r="P173" i="2"/>
  <c r="N183" i="3"/>
  <c r="N182" i="3"/>
  <c r="N181" i="3"/>
  <c r="N180" i="3"/>
  <c r="H179" i="3"/>
  <c r="N179" i="3"/>
  <c r="N178" i="3"/>
  <c r="N177" i="3"/>
  <c r="N176" i="3"/>
  <c r="N175" i="3"/>
  <c r="N174" i="3"/>
  <c r="N173" i="3"/>
  <c r="N172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O154" i="3"/>
  <c r="N157" i="3"/>
  <c r="N156" i="3"/>
  <c r="N155" i="3"/>
  <c r="N153" i="3"/>
  <c r="L152" i="3"/>
  <c r="N152" i="3"/>
  <c r="L151" i="3"/>
  <c r="N151" i="3"/>
  <c r="M150" i="3"/>
  <c r="N150" i="3"/>
  <c r="L149" i="3"/>
  <c r="N149" i="3"/>
  <c r="N148" i="3"/>
  <c r="N147" i="3"/>
  <c r="M146" i="3"/>
  <c r="N146" i="3"/>
  <c r="L144" i="3"/>
  <c r="N144" i="3"/>
  <c r="N143" i="3"/>
  <c r="N142" i="3"/>
  <c r="N141" i="3"/>
  <c r="N140" i="3"/>
  <c r="N139" i="3"/>
  <c r="N138" i="3"/>
  <c r="D137" i="3"/>
  <c r="N137" i="3"/>
  <c r="N136" i="3"/>
  <c r="N135" i="3"/>
  <c r="N134" i="3"/>
  <c r="N133" i="3"/>
  <c r="N131" i="3"/>
  <c r="D130" i="3"/>
  <c r="N130" i="3"/>
  <c r="J129" i="3"/>
  <c r="C129" i="3"/>
  <c r="N128" i="3"/>
  <c r="K126" i="3"/>
  <c r="N126" i="3"/>
  <c r="N125" i="3"/>
  <c r="N124" i="3"/>
  <c r="N123" i="3"/>
  <c r="N122" i="3"/>
  <c r="G121" i="3"/>
  <c r="N121" i="3"/>
  <c r="N120" i="3"/>
  <c r="N107" i="3"/>
  <c r="N109" i="3"/>
  <c r="N110" i="3"/>
  <c r="N111" i="3"/>
  <c r="N112" i="3"/>
  <c r="N114" i="3"/>
  <c r="N115" i="3"/>
  <c r="N116" i="3"/>
  <c r="N117" i="3"/>
  <c r="N118" i="3"/>
  <c r="D113" i="3"/>
  <c r="N113" i="3"/>
  <c r="K108" i="3"/>
  <c r="N108" i="3"/>
  <c r="N105" i="3"/>
  <c r="N104" i="3"/>
  <c r="N103" i="3"/>
  <c r="N102" i="3"/>
  <c r="N101" i="3"/>
  <c r="N100" i="3"/>
  <c r="N99" i="3"/>
  <c r="N98" i="3"/>
  <c r="N97" i="3"/>
  <c r="K96" i="3"/>
  <c r="H96" i="3"/>
  <c r="D96" i="3"/>
  <c r="K95" i="3"/>
  <c r="N95" i="3"/>
  <c r="K94" i="3"/>
  <c r="N94" i="3"/>
  <c r="K92" i="3"/>
  <c r="N92" i="3"/>
  <c r="D91" i="3"/>
  <c r="N91" i="3"/>
  <c r="L90" i="3"/>
  <c r="N90" i="3"/>
  <c r="M89" i="3"/>
  <c r="N89" i="3"/>
  <c r="N88" i="3"/>
  <c r="N87" i="3"/>
  <c r="K86" i="3"/>
  <c r="D86" i="3"/>
  <c r="N85" i="3"/>
  <c r="M84" i="3"/>
  <c r="L84" i="3"/>
  <c r="K84" i="3"/>
  <c r="J84" i="3"/>
  <c r="I84" i="3"/>
  <c r="H84" i="3"/>
  <c r="G84" i="3"/>
  <c r="F84" i="3"/>
  <c r="E84" i="3"/>
  <c r="D84" i="3"/>
  <c r="C84" i="3"/>
  <c r="M83" i="3"/>
  <c r="L83" i="3"/>
  <c r="K83" i="3"/>
  <c r="J83" i="3"/>
  <c r="I83" i="3"/>
  <c r="H83" i="3"/>
  <c r="G83" i="3"/>
  <c r="E83" i="3"/>
  <c r="D83" i="3"/>
  <c r="C83" i="3"/>
  <c r="N82" i="3"/>
  <c r="M81" i="3"/>
  <c r="K81" i="3"/>
  <c r="J81" i="3"/>
  <c r="I81" i="3"/>
  <c r="H81" i="3"/>
  <c r="G81" i="3"/>
  <c r="D81" i="3"/>
  <c r="C81" i="3"/>
  <c r="N79" i="3"/>
  <c r="L78" i="3"/>
  <c r="G78" i="3"/>
  <c r="M77" i="3"/>
  <c r="N77" i="3"/>
  <c r="N76" i="3"/>
  <c r="N75" i="3"/>
  <c r="N74" i="3"/>
  <c r="J73" i="3"/>
  <c r="I73" i="3"/>
  <c r="C73" i="3"/>
  <c r="N73" i="3"/>
  <c r="K72" i="3"/>
  <c r="N72" i="3"/>
  <c r="I71" i="3"/>
  <c r="N71" i="3"/>
  <c r="I70" i="3"/>
  <c r="N70" i="3"/>
  <c r="N69" i="3"/>
  <c r="N68" i="3"/>
  <c r="N66" i="3"/>
  <c r="K65" i="3"/>
  <c r="N65" i="3"/>
  <c r="K64" i="3"/>
  <c r="I64" i="3"/>
  <c r="D64" i="3"/>
  <c r="K63" i="3"/>
  <c r="I63" i="3"/>
  <c r="N63" i="3"/>
  <c r="K62" i="3"/>
  <c r="I62" i="3"/>
  <c r="D62" i="3"/>
  <c r="N61" i="3"/>
  <c r="N60" i="3"/>
  <c r="K59" i="3"/>
  <c r="I59" i="3"/>
  <c r="D59" i="3"/>
  <c r="I58" i="3"/>
  <c r="N58" i="3"/>
  <c r="L57" i="3"/>
  <c r="K57" i="3"/>
  <c r="G57" i="3"/>
  <c r="N56" i="3"/>
  <c r="L55" i="3"/>
  <c r="K55" i="3"/>
  <c r="J55" i="3"/>
  <c r="D55" i="3"/>
  <c r="N53" i="3"/>
  <c r="K52" i="3"/>
  <c r="F52" i="3"/>
  <c r="D52" i="3"/>
  <c r="L51" i="3"/>
  <c r="K51" i="3"/>
  <c r="D51" i="3"/>
  <c r="L50" i="3"/>
  <c r="K50" i="3"/>
  <c r="J50" i="3"/>
  <c r="J49" i="3"/>
  <c r="I49" i="3"/>
  <c r="G49" i="3"/>
  <c r="L48" i="3"/>
  <c r="J48" i="3"/>
  <c r="I48" i="3"/>
  <c r="N47" i="3"/>
  <c r="N46" i="3"/>
  <c r="N45" i="3"/>
  <c r="N44" i="3"/>
  <c r="N43" i="3"/>
  <c r="N42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N15" i="3"/>
  <c r="N14" i="3"/>
  <c r="N13" i="3"/>
  <c r="N12" i="3"/>
  <c r="P255" i="2"/>
  <c r="G255" i="2"/>
  <c r="P254" i="2"/>
  <c r="G254" i="2"/>
  <c r="P253" i="2"/>
  <c r="G253" i="2"/>
  <c r="P252" i="2"/>
  <c r="G252" i="2"/>
  <c r="P251" i="2"/>
  <c r="G251" i="2"/>
  <c r="P250" i="2"/>
  <c r="G250" i="2"/>
  <c r="P248" i="2"/>
  <c r="G248" i="2"/>
  <c r="P247" i="2"/>
  <c r="G247" i="2"/>
  <c r="P246" i="2"/>
  <c r="G246" i="2"/>
  <c r="P245" i="2"/>
  <c r="G245" i="2"/>
  <c r="P244" i="2"/>
  <c r="G244" i="2"/>
  <c r="P243" i="2"/>
  <c r="G243" i="2"/>
  <c r="P242" i="2"/>
  <c r="G242" i="2"/>
  <c r="P241" i="2"/>
  <c r="G241" i="2"/>
  <c r="P240" i="2"/>
  <c r="G240" i="2"/>
  <c r="P239" i="2"/>
  <c r="G239" i="2"/>
  <c r="P238" i="2"/>
  <c r="G238" i="2"/>
  <c r="P237" i="2"/>
  <c r="G237" i="2"/>
  <c r="P235" i="2"/>
  <c r="G235" i="2"/>
  <c r="P234" i="2"/>
  <c r="G234" i="2"/>
  <c r="G227" i="2"/>
  <c r="P233" i="2"/>
  <c r="G233" i="2"/>
  <c r="P232" i="2"/>
  <c r="G232" i="2"/>
  <c r="P231" i="2"/>
  <c r="G231" i="2"/>
  <c r="P230" i="2"/>
  <c r="G230" i="2"/>
  <c r="P229" i="2"/>
  <c r="G229" i="2"/>
  <c r="P228" i="2"/>
  <c r="G228" i="2"/>
  <c r="P227" i="2"/>
  <c r="P226" i="2"/>
  <c r="G226" i="2"/>
  <c r="P225" i="2"/>
  <c r="G225" i="2"/>
  <c r="P224" i="2"/>
  <c r="G224" i="2"/>
  <c r="P222" i="2"/>
  <c r="G222" i="2"/>
  <c r="P221" i="2"/>
  <c r="G221" i="2"/>
  <c r="P220" i="2"/>
  <c r="G220" i="2"/>
  <c r="P219" i="2"/>
  <c r="G219" i="2"/>
  <c r="P218" i="2"/>
  <c r="G218" i="2"/>
  <c r="P217" i="2"/>
  <c r="G217" i="2"/>
  <c r="P216" i="2"/>
  <c r="G216" i="2"/>
  <c r="P215" i="2"/>
  <c r="G215" i="2"/>
  <c r="P214" i="2"/>
  <c r="G214" i="2"/>
  <c r="P213" i="2"/>
  <c r="G213" i="2"/>
  <c r="P212" i="2"/>
  <c r="G212" i="2"/>
  <c r="P210" i="2"/>
  <c r="G210" i="2"/>
  <c r="P209" i="2"/>
  <c r="G209" i="2"/>
  <c r="P208" i="2"/>
  <c r="G208" i="2"/>
  <c r="P207" i="2"/>
  <c r="G207" i="2"/>
  <c r="P206" i="2"/>
  <c r="G206" i="2"/>
  <c r="P205" i="2"/>
  <c r="G205" i="2"/>
  <c r="P204" i="2"/>
  <c r="G204" i="2"/>
  <c r="P203" i="2"/>
  <c r="G203" i="2"/>
  <c r="P202" i="2"/>
  <c r="G202" i="2"/>
  <c r="P201" i="2"/>
  <c r="G201" i="2"/>
  <c r="P200" i="2"/>
  <c r="G200" i="2"/>
  <c r="P199" i="2"/>
  <c r="G199" i="2"/>
  <c r="P197" i="2"/>
  <c r="G197" i="2"/>
  <c r="P196" i="2"/>
  <c r="G196" i="2"/>
  <c r="P195" i="2"/>
  <c r="G195" i="2"/>
  <c r="P194" i="2"/>
  <c r="G194" i="2"/>
  <c r="P193" i="2"/>
  <c r="G193" i="2"/>
  <c r="P192" i="2"/>
  <c r="G192" i="2"/>
  <c r="P191" i="2"/>
  <c r="G191" i="2"/>
  <c r="P190" i="2"/>
  <c r="G190" i="2"/>
  <c r="P189" i="2"/>
  <c r="G189" i="2"/>
  <c r="P188" i="2"/>
  <c r="G188" i="2"/>
  <c r="P187" i="2"/>
  <c r="G187" i="2"/>
  <c r="P186" i="2"/>
  <c r="G186" i="2"/>
  <c r="P184" i="2"/>
  <c r="G184" i="2"/>
  <c r="P183" i="2"/>
  <c r="G183" i="2"/>
  <c r="P182" i="2"/>
  <c r="G182" i="2"/>
  <c r="P181" i="2"/>
  <c r="G181" i="2"/>
  <c r="K180" i="2"/>
  <c r="P180" i="2"/>
  <c r="G180" i="2"/>
  <c r="P179" i="2"/>
  <c r="G179" i="2"/>
  <c r="P178" i="2"/>
  <c r="G178" i="2"/>
  <c r="P177" i="2"/>
  <c r="G177" i="2"/>
  <c r="P176" i="2"/>
  <c r="G176" i="2"/>
  <c r="P175" i="2"/>
  <c r="G175" i="2"/>
  <c r="P174" i="2"/>
  <c r="G174" i="2"/>
  <c r="P171" i="2"/>
  <c r="G171" i="2"/>
  <c r="P170" i="2"/>
  <c r="G170" i="2"/>
  <c r="P169" i="2"/>
  <c r="G169" i="2"/>
  <c r="P168" i="2"/>
  <c r="G168" i="2"/>
  <c r="P167" i="2"/>
  <c r="G167" i="2"/>
  <c r="P166" i="2"/>
  <c r="G166" i="2"/>
  <c r="P165" i="2"/>
  <c r="G165" i="2"/>
  <c r="P164" i="2"/>
  <c r="G164" i="2"/>
  <c r="P163" i="2"/>
  <c r="G163" i="2"/>
  <c r="P162" i="2"/>
  <c r="G162" i="2"/>
  <c r="P161" i="2"/>
  <c r="G161" i="2"/>
  <c r="P160" i="2"/>
  <c r="G160" i="2"/>
  <c r="P158" i="2"/>
  <c r="G158" i="2"/>
  <c r="P157" i="2"/>
  <c r="G157" i="2"/>
  <c r="P156" i="2"/>
  <c r="G156" i="2"/>
  <c r="P154" i="2"/>
  <c r="G154" i="2"/>
  <c r="O153" i="2"/>
  <c r="K153" i="2"/>
  <c r="F153" i="2"/>
  <c r="E153" i="2"/>
  <c r="C153" i="2"/>
  <c r="K152" i="2"/>
  <c r="J152" i="2"/>
  <c r="F152" i="2"/>
  <c r="E152" i="2"/>
  <c r="D152" i="2"/>
  <c r="C152" i="2"/>
  <c r="K151" i="2"/>
  <c r="P151" i="2"/>
  <c r="F151" i="2"/>
  <c r="G151" i="2"/>
  <c r="K150" i="2"/>
  <c r="P150" i="2"/>
  <c r="F150" i="2"/>
  <c r="C150" i="2"/>
  <c r="G150" i="2"/>
  <c r="O149" i="2"/>
  <c r="K149" i="2"/>
  <c r="F149" i="2"/>
  <c r="G149" i="2"/>
  <c r="K148" i="2"/>
  <c r="P148" i="2"/>
  <c r="F148" i="2"/>
  <c r="G148" i="2"/>
  <c r="K147" i="2"/>
  <c r="P147" i="2"/>
  <c r="F147" i="2"/>
  <c r="C147" i="2"/>
  <c r="P80" i="2"/>
  <c r="G80" i="2"/>
  <c r="O79" i="2"/>
  <c r="K79" i="2"/>
  <c r="J79" i="2"/>
  <c r="I79" i="2"/>
  <c r="H79" i="2"/>
  <c r="F79" i="2"/>
  <c r="E79" i="2"/>
  <c r="D79" i="2"/>
  <c r="C79" i="2"/>
  <c r="O78" i="2"/>
  <c r="K78" i="2"/>
  <c r="J78" i="2"/>
  <c r="F78" i="2"/>
  <c r="E78" i="2"/>
  <c r="C78" i="2"/>
  <c r="O77" i="2"/>
  <c r="P77" i="2"/>
  <c r="F77" i="2"/>
  <c r="E77" i="2"/>
  <c r="C77" i="2"/>
  <c r="O76" i="2"/>
  <c r="P76" i="2"/>
  <c r="F76" i="2"/>
  <c r="E76" i="2"/>
  <c r="C76" i="2"/>
  <c r="O75" i="2"/>
  <c r="N75" i="2"/>
  <c r="L75" i="2"/>
  <c r="K75" i="2"/>
  <c r="F75" i="2"/>
  <c r="E75" i="2"/>
  <c r="D75" i="2"/>
  <c r="C82" i="2"/>
  <c r="D82" i="2"/>
  <c r="E82" i="2"/>
  <c r="F82" i="2"/>
  <c r="H82" i="2"/>
  <c r="I82" i="2"/>
  <c r="J82" i="2"/>
  <c r="K82" i="2"/>
  <c r="L82" i="2"/>
  <c r="M82" i="2"/>
  <c r="N82" i="2"/>
  <c r="O82" i="2"/>
  <c r="C83" i="2"/>
  <c r="G83" i="2"/>
  <c r="P83" i="2"/>
  <c r="C84" i="2"/>
  <c r="D84" i="2"/>
  <c r="E84" i="2"/>
  <c r="F84" i="2"/>
  <c r="H84" i="2"/>
  <c r="I84" i="2"/>
  <c r="J84" i="2"/>
  <c r="K84" i="2"/>
  <c r="L84" i="2"/>
  <c r="M84" i="2"/>
  <c r="N84" i="2"/>
  <c r="O84" i="2"/>
  <c r="C85" i="2"/>
  <c r="D85" i="2"/>
  <c r="E85" i="2"/>
  <c r="F85" i="2"/>
  <c r="H85" i="2"/>
  <c r="I85" i="2"/>
  <c r="J85" i="2"/>
  <c r="K85" i="2"/>
  <c r="L85" i="2"/>
  <c r="M85" i="2"/>
  <c r="N85" i="2"/>
  <c r="O85" i="2"/>
  <c r="C86" i="2"/>
  <c r="D86" i="2"/>
  <c r="E86" i="2"/>
  <c r="F86" i="2"/>
  <c r="K86" i="2"/>
  <c r="O86" i="2"/>
  <c r="C87" i="2"/>
  <c r="E87" i="2"/>
  <c r="F87" i="2"/>
  <c r="O87" i="2"/>
  <c r="P87" i="2"/>
  <c r="C88" i="2"/>
  <c r="E88" i="2"/>
  <c r="F88" i="2"/>
  <c r="O88" i="2"/>
  <c r="P88" i="2"/>
  <c r="O74" i="2"/>
  <c r="M74" i="2"/>
  <c r="L74" i="2"/>
  <c r="K74" i="2"/>
  <c r="J74" i="2"/>
  <c r="I74" i="2"/>
  <c r="F74" i="2"/>
  <c r="E74" i="2"/>
  <c r="D74" i="2"/>
  <c r="C74" i="2"/>
  <c r="K73" i="2"/>
  <c r="P73" i="2"/>
  <c r="F73" i="2"/>
  <c r="E73" i="2"/>
  <c r="C73" i="2"/>
  <c r="N72" i="2"/>
  <c r="L72" i="2"/>
  <c r="K72" i="2"/>
  <c r="J72" i="2"/>
  <c r="F72" i="2"/>
  <c r="E72" i="2"/>
  <c r="D72" i="2"/>
  <c r="C72" i="2"/>
  <c r="K71" i="2"/>
  <c r="P71" i="2"/>
  <c r="F71" i="2"/>
  <c r="E71" i="2"/>
  <c r="D71" i="2"/>
  <c r="I70" i="2"/>
  <c r="P70" i="2"/>
  <c r="F70" i="2"/>
  <c r="E70" i="2"/>
  <c r="D70" i="2"/>
  <c r="G70" i="2"/>
  <c r="O69" i="2"/>
  <c r="L69" i="2"/>
  <c r="K69" i="2"/>
  <c r="J69" i="2"/>
  <c r="F69" i="2"/>
  <c r="C69" i="2"/>
  <c r="E89" i="2"/>
  <c r="F89" i="2"/>
  <c r="K89" i="2"/>
  <c r="O89" i="2"/>
  <c r="C90" i="2"/>
  <c r="E90" i="2"/>
  <c r="O90" i="2"/>
  <c r="P90" i="2"/>
  <c r="C91" i="2"/>
  <c r="E91" i="2"/>
  <c r="P91" i="2"/>
  <c r="C92" i="2"/>
  <c r="G92" i="2"/>
  <c r="O92" i="2"/>
  <c r="P92" i="2"/>
  <c r="C93" i="2"/>
  <c r="E93" i="2"/>
  <c r="F93" i="2"/>
  <c r="O93" i="2"/>
  <c r="P93" i="2"/>
  <c r="P145" i="2"/>
  <c r="F145" i="2"/>
  <c r="C145" i="2"/>
  <c r="H144" i="2"/>
  <c r="P144" i="2"/>
  <c r="E144" i="2"/>
  <c r="G144" i="2"/>
  <c r="P143" i="2"/>
  <c r="F143" i="2"/>
  <c r="G143" i="2"/>
  <c r="K142" i="2"/>
  <c r="P142" i="2"/>
  <c r="F142" i="2"/>
  <c r="C142" i="2"/>
  <c r="P141" i="2"/>
  <c r="G141" i="2"/>
  <c r="J140" i="2"/>
  <c r="P140" i="2"/>
  <c r="G140" i="2"/>
  <c r="P139" i="2"/>
  <c r="G139" i="2"/>
  <c r="P138" i="2"/>
  <c r="F138" i="2"/>
  <c r="G138" i="2"/>
  <c r="P137" i="2"/>
  <c r="F137" i="2"/>
  <c r="D137" i="2"/>
  <c r="C137" i="2"/>
  <c r="P136" i="2"/>
  <c r="F136" i="2"/>
  <c r="C136" i="2"/>
  <c r="P135" i="2"/>
  <c r="D135" i="2"/>
  <c r="C135" i="2"/>
  <c r="O134" i="2"/>
  <c r="P134" i="2"/>
  <c r="G134" i="2"/>
  <c r="P132" i="2"/>
  <c r="C132" i="2"/>
  <c r="G132" i="2"/>
  <c r="K131" i="2"/>
  <c r="P131" i="2"/>
  <c r="G131" i="2"/>
  <c r="K130" i="2"/>
  <c r="P130" i="2"/>
  <c r="C130" i="2"/>
  <c r="G130" i="2"/>
  <c r="P129" i="2"/>
  <c r="G129" i="2"/>
  <c r="K128" i="2"/>
  <c r="P128" i="2"/>
  <c r="O127" i="3"/>
  <c r="P127" i="2"/>
  <c r="E127" i="2"/>
  <c r="G127" i="2"/>
  <c r="P126" i="2"/>
  <c r="G126" i="2"/>
  <c r="P125" i="2"/>
  <c r="G125" i="2"/>
  <c r="P124" i="2"/>
  <c r="F124" i="2"/>
  <c r="E124" i="2"/>
  <c r="C124" i="2"/>
  <c r="K123" i="2"/>
  <c r="P123" i="2"/>
  <c r="F123" i="2"/>
  <c r="C123" i="2"/>
  <c r="P122" i="2"/>
  <c r="F122" i="2"/>
  <c r="C122" i="2"/>
  <c r="P121" i="2"/>
  <c r="F121" i="2"/>
  <c r="C121" i="2"/>
  <c r="J119" i="2"/>
  <c r="P119" i="2"/>
  <c r="F119" i="2"/>
  <c r="E119" i="2"/>
  <c r="C119" i="2"/>
  <c r="G119" i="2"/>
  <c r="P118" i="2"/>
  <c r="C118" i="2"/>
  <c r="G118" i="2"/>
  <c r="P117" i="2"/>
  <c r="G117" i="2"/>
  <c r="P116" i="2"/>
  <c r="E116" i="2"/>
  <c r="G116" i="2"/>
  <c r="P115" i="2"/>
  <c r="F115" i="2"/>
  <c r="E115" i="2"/>
  <c r="C115" i="2"/>
  <c r="P114" i="2"/>
  <c r="G114" i="2"/>
  <c r="P113" i="2"/>
  <c r="G113" i="2"/>
  <c r="P112" i="2"/>
  <c r="D112" i="2"/>
  <c r="G112" i="2"/>
  <c r="P111" i="2"/>
  <c r="C111" i="2"/>
  <c r="G111" i="2"/>
  <c r="P110" i="2"/>
  <c r="F110" i="2"/>
  <c r="G110" i="2"/>
  <c r="P109" i="2"/>
  <c r="C109" i="2"/>
  <c r="G109" i="2"/>
  <c r="P108" i="2"/>
  <c r="F108" i="2"/>
  <c r="C108" i="2"/>
  <c r="P106" i="2"/>
  <c r="F106" i="2"/>
  <c r="C106" i="2"/>
  <c r="G106" i="2"/>
  <c r="P105" i="2"/>
  <c r="F105" i="2"/>
  <c r="G105" i="2"/>
  <c r="P104" i="2"/>
  <c r="C104" i="2"/>
  <c r="G104" i="2"/>
  <c r="P103" i="2"/>
  <c r="G103" i="2"/>
  <c r="P102" i="2"/>
  <c r="G102" i="2"/>
  <c r="K101" i="2"/>
  <c r="P101" i="2"/>
  <c r="F101" i="2"/>
  <c r="G101" i="2"/>
  <c r="P100" i="2"/>
  <c r="G100" i="2"/>
  <c r="P99" i="2"/>
  <c r="F99" i="2"/>
  <c r="E99" i="2"/>
  <c r="C99" i="2"/>
  <c r="J98" i="2"/>
  <c r="P98" i="2"/>
  <c r="E98" i="2"/>
  <c r="D98" i="2"/>
  <c r="C98" i="2"/>
  <c r="G98" i="2"/>
  <c r="P97" i="2"/>
  <c r="C97" i="2"/>
  <c r="G97" i="2"/>
  <c r="P96" i="2"/>
  <c r="F96" i="2"/>
  <c r="C96" i="2"/>
  <c r="P95" i="2"/>
  <c r="C95" i="2"/>
  <c r="G95" i="2"/>
  <c r="O67" i="2"/>
  <c r="K67" i="2"/>
  <c r="G67" i="2"/>
  <c r="P66" i="2"/>
  <c r="F66" i="2"/>
  <c r="E66" i="2"/>
  <c r="D66" i="2"/>
  <c r="C66" i="2"/>
  <c r="O65" i="2"/>
  <c r="N65" i="2"/>
  <c r="K65" i="2"/>
  <c r="F65" i="2"/>
  <c r="E65" i="2"/>
  <c r="C65" i="2"/>
  <c r="N64" i="2"/>
  <c r="P64" i="2"/>
  <c r="F64" i="2"/>
  <c r="E64" i="2"/>
  <c r="D64" i="2"/>
  <c r="C64" i="2"/>
  <c r="O63" i="2"/>
  <c r="K63" i="2"/>
  <c r="F63" i="2"/>
  <c r="E63" i="2"/>
  <c r="D63" i="2"/>
  <c r="C63" i="2"/>
  <c r="P62" i="2"/>
  <c r="G62" i="2"/>
  <c r="P61" i="2"/>
  <c r="G61" i="2"/>
  <c r="O60" i="2"/>
  <c r="N60" i="2"/>
  <c r="L60" i="2"/>
  <c r="J60" i="2"/>
  <c r="H60" i="2"/>
  <c r="F60" i="2"/>
  <c r="E60" i="2"/>
  <c r="C60" i="2"/>
  <c r="O59" i="2"/>
  <c r="N59" i="2"/>
  <c r="L59" i="2"/>
  <c r="K59" i="2"/>
  <c r="G59" i="2"/>
  <c r="N58" i="2"/>
  <c r="L58" i="2"/>
  <c r="I58" i="2"/>
  <c r="C58" i="2"/>
  <c r="G58" i="2"/>
  <c r="P57" i="2"/>
  <c r="G57" i="2"/>
  <c r="O56" i="2"/>
  <c r="N56" i="2"/>
  <c r="L56" i="2"/>
  <c r="J56" i="2"/>
  <c r="F56" i="2"/>
  <c r="E56" i="2"/>
  <c r="C56" i="2"/>
  <c r="P54" i="2"/>
  <c r="G54" i="2"/>
  <c r="O53" i="2"/>
  <c r="P53" i="2"/>
  <c r="G53" i="2"/>
  <c r="O52" i="2"/>
  <c r="L52" i="2"/>
  <c r="F52" i="2"/>
  <c r="C52" i="2"/>
  <c r="P51" i="2"/>
  <c r="G51" i="2"/>
  <c r="K50" i="2"/>
  <c r="P50" i="2"/>
  <c r="E50" i="2"/>
  <c r="D50" i="2"/>
  <c r="G50" i="2"/>
  <c r="I49" i="2"/>
  <c r="P49" i="2"/>
  <c r="D49" i="2"/>
  <c r="G49" i="2"/>
  <c r="P48" i="2"/>
  <c r="G48" i="2"/>
  <c r="P47" i="2"/>
  <c r="G47" i="2"/>
  <c r="P46" i="2"/>
  <c r="G46" i="2"/>
  <c r="P45" i="2"/>
  <c r="G45" i="2"/>
  <c r="P44" i="2"/>
  <c r="G44" i="2"/>
  <c r="P43" i="2"/>
  <c r="G43" i="2"/>
  <c r="P41" i="2"/>
  <c r="G41" i="2"/>
  <c r="P40" i="2"/>
  <c r="G40" i="2"/>
  <c r="P39" i="2"/>
  <c r="G39" i="2"/>
  <c r="P38" i="2"/>
  <c r="G38" i="2"/>
  <c r="P37" i="2"/>
  <c r="G37" i="2"/>
  <c r="P36" i="2"/>
  <c r="G36" i="2"/>
  <c r="P16" i="2"/>
  <c r="G16" i="2"/>
  <c r="P15" i="2"/>
  <c r="G15" i="2"/>
  <c r="P14" i="2"/>
  <c r="G14" i="2"/>
  <c r="P13" i="2"/>
  <c r="G13" i="2"/>
  <c r="N48" i="3"/>
  <c r="N59" i="3"/>
  <c r="G121" i="2"/>
  <c r="O120" i="3"/>
  <c r="N49" i="3"/>
  <c r="P149" i="2"/>
  <c r="N129" i="3"/>
  <c r="O129" i="3"/>
  <c r="N96" i="3"/>
  <c r="N86" i="3"/>
  <c r="N50" i="3"/>
  <c r="N62" i="3"/>
  <c r="O192" i="3"/>
  <c r="G71" i="2"/>
  <c r="O70" i="3"/>
  <c r="G99" i="2"/>
  <c r="O98" i="3"/>
  <c r="O181" i="3"/>
  <c r="O266" i="3"/>
  <c r="G123" i="2"/>
  <c r="O122" i="3"/>
  <c r="G135" i="2"/>
  <c r="O134" i="3"/>
  <c r="G76" i="2"/>
  <c r="O75" i="3"/>
  <c r="O157" i="3"/>
  <c r="G74" i="2"/>
  <c r="G147" i="2"/>
  <c r="O146" i="3"/>
  <c r="P52" i="2"/>
  <c r="O156" i="3"/>
  <c r="O182" i="3"/>
  <c r="O236" i="3"/>
  <c r="O140" i="3"/>
  <c r="O13" i="3"/>
  <c r="O195" i="3"/>
  <c r="O221" i="3"/>
  <c r="O247" i="3"/>
  <c r="O223" i="3"/>
  <c r="G136" i="2"/>
  <c r="O135" i="3"/>
  <c r="P152" i="2"/>
  <c r="O45" i="3"/>
  <c r="O249" i="3"/>
  <c r="G90" i="2"/>
  <c r="O89" i="3"/>
  <c r="O130" i="3"/>
  <c r="G69" i="2"/>
  <c r="O228" i="3"/>
  <c r="O44" i="3"/>
  <c r="O155" i="3"/>
  <c r="O139" i="3"/>
  <c r="G78" i="2"/>
  <c r="O148" i="3"/>
  <c r="O224" i="3"/>
  <c r="O133" i="3"/>
  <c r="O177" i="3"/>
  <c r="G115" i="2"/>
  <c r="O114" i="3"/>
  <c r="O113" i="3"/>
  <c r="O178" i="3"/>
  <c r="G73" i="2"/>
  <c r="O72" i="3"/>
  <c r="O153" i="3"/>
  <c r="G122" i="2"/>
  <c r="O121" i="3"/>
  <c r="N83" i="3"/>
  <c r="N57" i="3"/>
  <c r="O108" i="3"/>
  <c r="O179" i="3"/>
  <c r="O12" i="3"/>
  <c r="G75" i="2"/>
  <c r="G142" i="2"/>
  <c r="O141" i="3"/>
  <c r="O56" i="3"/>
  <c r="O48" i="3"/>
  <c r="O61" i="3"/>
  <c r="O131" i="3"/>
  <c r="O42" i="3"/>
  <c r="P65" i="2"/>
  <c r="G153" i="2"/>
  <c r="O231" i="3"/>
  <c r="O185" i="3"/>
  <c r="O211" i="3"/>
  <c r="O237" i="3"/>
  <c r="P56" i="2"/>
  <c r="G66" i="2"/>
  <c r="O65" i="3"/>
  <c r="O194" i="3"/>
  <c r="P153" i="2"/>
  <c r="O101" i="3"/>
  <c r="O142" i="3"/>
  <c r="G72" i="2"/>
  <c r="P58" i="2"/>
  <c r="P63" i="2"/>
  <c r="O125" i="3"/>
  <c r="G96" i="2"/>
  <c r="O95" i="3"/>
  <c r="O104" i="3"/>
  <c r="O227" i="3"/>
  <c r="G60" i="2"/>
  <c r="G65" i="2"/>
  <c r="O46" i="3"/>
  <c r="O47" i="3"/>
  <c r="O117" i="3"/>
  <c r="O229" i="3"/>
  <c r="O242" i="3"/>
  <c r="O116" i="3"/>
  <c r="O180" i="3"/>
  <c r="O230" i="3"/>
  <c r="O128" i="3"/>
  <c r="O14" i="3"/>
  <c r="O15" i="3"/>
  <c r="P74" i="2"/>
  <c r="G77" i="2"/>
  <c r="O76" i="3"/>
  <c r="O49" i="3"/>
  <c r="O159" i="3"/>
  <c r="O183" i="3"/>
  <c r="O232" i="3"/>
  <c r="O244" i="3"/>
  <c r="O94" i="3"/>
  <c r="O160" i="3"/>
  <c r="O172" i="3"/>
  <c r="O208" i="3"/>
  <c r="O234" i="3"/>
  <c r="O150" i="3"/>
  <c r="P86" i="2"/>
  <c r="O161" i="3"/>
  <c r="O245" i="3"/>
  <c r="O147" i="3"/>
  <c r="O186" i="3"/>
  <c r="O212" i="3"/>
  <c r="O238" i="3"/>
  <c r="O246" i="3"/>
  <c r="O239" i="3"/>
  <c r="G91" i="2"/>
  <c r="O90" i="3"/>
  <c r="G88" i="2"/>
  <c r="O87" i="3"/>
  <c r="G124" i="2"/>
  <c r="O123" i="3"/>
  <c r="O124" i="3"/>
  <c r="G64" i="2"/>
  <c r="O63" i="3"/>
  <c r="O188" i="3"/>
  <c r="O201" i="3"/>
  <c r="O214" i="3"/>
  <c r="O97" i="3"/>
  <c r="G108" i="2"/>
  <c r="O107" i="3"/>
  <c r="G145" i="2"/>
  <c r="O144" i="3"/>
  <c r="O143" i="3"/>
  <c r="G85" i="2"/>
  <c r="P60" i="2"/>
  <c r="O138" i="3"/>
  <c r="P67" i="2"/>
  <c r="O66" i="3"/>
  <c r="O164" i="3"/>
  <c r="O50" i="3"/>
  <c r="P72" i="2"/>
  <c r="G82" i="2"/>
  <c r="G79" i="2"/>
  <c r="O165" i="3"/>
  <c r="O240" i="3"/>
  <c r="O126" i="3"/>
  <c r="G52" i="2"/>
  <c r="P59" i="2"/>
  <c r="O58" i="3"/>
  <c r="O115" i="3"/>
  <c r="P89" i="2"/>
  <c r="O173" i="3"/>
  <c r="O198" i="3"/>
  <c r="O250" i="3"/>
  <c r="N52" i="3"/>
  <c r="O52" i="3"/>
  <c r="N64" i="3"/>
  <c r="O102" i="3"/>
  <c r="O166" i="3"/>
  <c r="O189" i="3"/>
  <c r="O215" i="3"/>
  <c r="O241" i="3"/>
  <c r="G137" i="2"/>
  <c r="O136" i="3"/>
  <c r="O202" i="3"/>
  <c r="P85" i="2"/>
  <c r="O203" i="3"/>
  <c r="P82" i="2"/>
  <c r="O96" i="3"/>
  <c r="O260" i="3"/>
  <c r="O112" i="3"/>
  <c r="O255" i="3"/>
  <c r="P78" i="2"/>
  <c r="N84" i="3"/>
  <c r="O103" i="3"/>
  <c r="O216" i="3"/>
  <c r="O209" i="3"/>
  <c r="G89" i="2"/>
  <c r="G87" i="2"/>
  <c r="O199" i="3"/>
  <c r="O251" i="3"/>
  <c r="N55" i="3"/>
  <c r="O168" i="3"/>
  <c r="O191" i="3"/>
  <c r="O217" i="3"/>
  <c r="O243" i="3"/>
  <c r="G84" i="2"/>
  <c r="O79" i="3"/>
  <c r="O91" i="3"/>
  <c r="O258" i="3"/>
  <c r="O111" i="3"/>
  <c r="O60" i="3"/>
  <c r="O205" i="3"/>
  <c r="O265" i="3"/>
  <c r="O206" i="3"/>
  <c r="O233" i="3"/>
  <c r="O262" i="3"/>
  <c r="N78" i="3"/>
  <c r="O263" i="3"/>
  <c r="N51" i="3"/>
  <c r="O53" i="3"/>
  <c r="O190" i="3"/>
  <c r="P75" i="2"/>
  <c r="O174" i="3"/>
  <c r="O187" i="3"/>
  <c r="O213" i="3"/>
  <c r="O226" i="3"/>
  <c r="O105" i="3"/>
  <c r="O169" i="3"/>
  <c r="O218" i="3"/>
  <c r="O176" i="3"/>
  <c r="P84" i="2"/>
  <c r="P79" i="2"/>
  <c r="O175" i="3"/>
  <c r="O200" i="3"/>
  <c r="O252" i="3"/>
  <c r="O170" i="3"/>
  <c r="O193" i="3"/>
  <c r="O219" i="3"/>
  <c r="O267" i="3"/>
  <c r="G86" i="2"/>
  <c r="O254" i="3"/>
  <c r="G56" i="2"/>
  <c r="G93" i="2"/>
  <c r="O92" i="3"/>
  <c r="O204" i="3"/>
  <c r="O259" i="3"/>
  <c r="G63" i="2"/>
  <c r="O207" i="3"/>
  <c r="O268" i="3"/>
  <c r="O162" i="3"/>
  <c r="O196" i="3"/>
  <c r="O99" i="3"/>
  <c r="O163" i="3"/>
  <c r="O225" i="3"/>
  <c r="N81" i="3"/>
  <c r="O167" i="3"/>
  <c r="P69" i="2"/>
  <c r="G152" i="2"/>
  <c r="O43" i="3"/>
  <c r="O82" i="3"/>
  <c r="O220" i="3"/>
  <c r="O264" i="3"/>
  <c r="O257" i="3"/>
  <c r="O110" i="3"/>
  <c r="O118" i="3"/>
  <c r="O100" i="3"/>
  <c r="O137" i="3"/>
  <c r="O109" i="3"/>
  <c r="O149" i="3"/>
  <c r="O69" i="3"/>
  <c r="O256" i="3"/>
  <c r="O253" i="3"/>
  <c r="O73" i="3"/>
  <c r="O86" i="3"/>
  <c r="O57" i="3"/>
  <c r="O68" i="3"/>
  <c r="O83" i="3"/>
  <c r="O151" i="3"/>
  <c r="O71" i="3"/>
  <c r="O78" i="3"/>
  <c r="O77" i="3"/>
  <c r="O81" i="3"/>
  <c r="O85" i="3"/>
  <c r="O62" i="3"/>
  <c r="O84" i="3"/>
  <c r="O74" i="3"/>
  <c r="O152" i="3"/>
  <c r="O51" i="3"/>
  <c r="O88" i="3"/>
  <c r="O59" i="3"/>
  <c r="O55" i="3"/>
  <c r="O64" i="3"/>
</calcChain>
</file>

<file path=xl/sharedStrings.xml><?xml version="1.0" encoding="utf-8"?>
<sst xmlns="http://schemas.openxmlformats.org/spreadsheetml/2006/main" count="377" uniqueCount="166">
  <si>
    <t>Total of Services Sector</t>
  </si>
  <si>
    <t>Commercial Sector</t>
  </si>
  <si>
    <t>Utilities and Energy</t>
  </si>
  <si>
    <t>Media</t>
  </si>
  <si>
    <t>Transportation</t>
  </si>
  <si>
    <t>Hotels and Tourism</t>
  </si>
  <si>
    <t>Educational Sector</t>
  </si>
  <si>
    <t>Health Sector</t>
  </si>
  <si>
    <t>Total of Finacial Sector</t>
  </si>
  <si>
    <t>Real Estate</t>
  </si>
  <si>
    <t>Diversified Financial Services</t>
  </si>
  <si>
    <t>Insurance</t>
  </si>
  <si>
    <t>Banks</t>
  </si>
  <si>
    <t xml:space="preserve"> مجموع قطاع الخدمات</t>
  </si>
  <si>
    <t>الخدمات التجارية</t>
  </si>
  <si>
    <t>الطاقة والمنافع</t>
  </si>
  <si>
    <t>الاعلام</t>
  </si>
  <si>
    <t>التكنولوجيا والاتصالات</t>
  </si>
  <si>
    <t>النقل</t>
  </si>
  <si>
    <t>الفنادق والسياحة</t>
  </si>
  <si>
    <t>التعليم</t>
  </si>
  <si>
    <t>الخدمات الصحية</t>
  </si>
  <si>
    <t xml:space="preserve"> مجموع القطاع المالي</t>
  </si>
  <si>
    <t>العقارات</t>
  </si>
  <si>
    <t>خدمات مالية متنوعة</t>
  </si>
  <si>
    <t>التأمين</t>
  </si>
  <si>
    <t>البنوك</t>
  </si>
  <si>
    <t>Total Sectors</t>
  </si>
  <si>
    <t>Total of Industrial Sector</t>
  </si>
  <si>
    <t>Glass and Ceramic Industries</t>
  </si>
  <si>
    <t>Textile, Leather and Clothings</t>
  </si>
  <si>
    <t>Electrical Industries</t>
  </si>
  <si>
    <t>Engineering and Construction</t>
  </si>
  <si>
    <t>Mining and Extraction Industries</t>
  </si>
  <si>
    <t>Tobacco and Cigarettes</t>
  </si>
  <si>
    <t>Food and Beverages</t>
  </si>
  <si>
    <t>Printing and Packaging</t>
  </si>
  <si>
    <t>Paper and Cartoon Industries</t>
  </si>
  <si>
    <t>Chemical Industries</t>
  </si>
  <si>
    <t>Pharmaceutical and Medical Industries</t>
  </si>
  <si>
    <t xml:space="preserve">مجموع القطاعات </t>
  </si>
  <si>
    <t xml:space="preserve"> مجموع قطاع الصناعة</t>
  </si>
  <si>
    <t>الصناعات الزجاجية والخزفية</t>
  </si>
  <si>
    <t>الملابس والجلود والنسيج</t>
  </si>
  <si>
    <t>الصناعات الكهربائية</t>
  </si>
  <si>
    <t>الصناعات الهندسية والانشائية</t>
  </si>
  <si>
    <t>الصناعات الاستخراجية والتعدينية</t>
  </si>
  <si>
    <t>التبغ والسجائر</t>
  </si>
  <si>
    <t>الاغذية والمشروبات</t>
  </si>
  <si>
    <t>الطباعة والتغليف</t>
  </si>
  <si>
    <t>صناعات الورق والكرتون</t>
  </si>
  <si>
    <t>الصناعات الكيماوية</t>
  </si>
  <si>
    <t>الادوية والصناعات الطبية</t>
  </si>
  <si>
    <t>Percentage Change</t>
  </si>
  <si>
    <t>Index Number</t>
  </si>
  <si>
    <t xml:space="preserve">التغير النسبي </t>
  </si>
  <si>
    <t>الرقم القياسي</t>
  </si>
  <si>
    <t xml:space="preserve">General Index  </t>
  </si>
  <si>
    <t>Manufacturing and Mining Companies</t>
  </si>
  <si>
    <t>Services Companies</t>
  </si>
  <si>
    <t>Insurance Companies</t>
  </si>
  <si>
    <t>Banks and Financial Institutions</t>
  </si>
  <si>
    <t>الرقم القياسي العام</t>
  </si>
  <si>
    <t>شركات الصناعة والتعدين</t>
  </si>
  <si>
    <t>شركات الخدمات</t>
  </si>
  <si>
    <t>شركات التأمين</t>
  </si>
  <si>
    <t>البنوك والشركات المالية</t>
  </si>
  <si>
    <t xml:space="preserve">المصدر : بورصة عمان.  </t>
  </si>
  <si>
    <t>Hotel and Tourism</t>
  </si>
  <si>
    <t xml:space="preserve"> Services Sector</t>
  </si>
  <si>
    <t xml:space="preserve"> Finacial Sector</t>
  </si>
  <si>
    <t xml:space="preserve"> قطاع الخدمات</t>
  </si>
  <si>
    <t>القطاع المالي</t>
  </si>
  <si>
    <t>General Index</t>
  </si>
  <si>
    <t xml:space="preserve">  Industrial Sector</t>
  </si>
  <si>
    <t>التغير النسبي %</t>
  </si>
  <si>
    <t xml:space="preserve">الرقم القياسي العام </t>
  </si>
  <si>
    <t xml:space="preserve"> قطاع الصناعة</t>
  </si>
  <si>
    <t>All Sectors</t>
  </si>
  <si>
    <t>الفترة
Period</t>
  </si>
  <si>
    <t>قطاع الخدمات</t>
  </si>
  <si>
    <t>Services Sector</t>
  </si>
  <si>
    <t xml:space="preserve">Financial Sector </t>
  </si>
  <si>
    <t>قطاع الصناعة</t>
  </si>
  <si>
    <t>Industrial Sector</t>
  </si>
  <si>
    <t>القطاع المالي
Finacial Sector</t>
  </si>
  <si>
    <t xml:space="preserve"> قطاع الخدمات
Services Sector</t>
  </si>
  <si>
    <t>قطاع الصناعة
  Industrial Sector</t>
  </si>
  <si>
    <t>Dec</t>
  </si>
  <si>
    <t>-</t>
  </si>
  <si>
    <t xml:space="preserve"> </t>
  </si>
  <si>
    <t xml:space="preserve">                                      </t>
  </si>
  <si>
    <t xml:space="preserve">  - </t>
  </si>
  <si>
    <t>Source : Amman Stock Exchange.</t>
  </si>
  <si>
    <t>N.A</t>
  </si>
  <si>
    <t>المصدر : بورصة عمان.</t>
  </si>
  <si>
    <t xml:space="preserve">        </t>
  </si>
  <si>
    <t>الف دينار
JD Thousand</t>
  </si>
  <si>
    <t>جميع
  القطاعات</t>
  </si>
  <si>
    <t>Table (59a) جدول</t>
  </si>
  <si>
    <t>Table (59b) جدول</t>
  </si>
  <si>
    <t>Table (60a) جدول</t>
  </si>
  <si>
    <t>Table (60b) جدول</t>
  </si>
  <si>
    <t>Table (61) جدول</t>
  </si>
  <si>
    <t>Table (62a) جدول</t>
  </si>
  <si>
    <t>Table (62b) جدول</t>
  </si>
  <si>
    <t>إحصاءات القطاع المالي</t>
  </si>
  <si>
    <t>Transp-ortation</t>
  </si>
  <si>
    <t>Technology and Commun-ication</t>
  </si>
  <si>
    <t>Health 
Sector</t>
  </si>
  <si>
    <t>Technology and Commu-nication</t>
  </si>
  <si>
    <t>Pharmace-utical and Medical Industries</t>
  </si>
  <si>
    <t>اربحية الشركات المساهمة العامة الاردنية..................................................................................................</t>
  </si>
  <si>
    <t>الرقم القياسي لاسعار الاسهم مرجحا بالقيمة السوقية لرأس المال..................................................................................................</t>
  </si>
  <si>
    <t>الرقم القياسي لاسعار الاسهم مرجحا بالقيمة السوقية للاسهم الحرة قطاعيا..................................................................................................</t>
  </si>
  <si>
    <t>حجم التداول في بورصة عمان موزعا حسب القطاعات. .................................................................................................</t>
  </si>
  <si>
    <t xml:space="preserve">Amman Stock Exchange </t>
  </si>
  <si>
    <t>بورصة عمان</t>
  </si>
  <si>
    <t>رقم الجدول
.Table No</t>
  </si>
  <si>
    <t>59b</t>
  </si>
  <si>
    <t>60a</t>
  </si>
  <si>
    <t>60b</t>
  </si>
  <si>
    <t>62a</t>
  </si>
  <si>
    <t>62b</t>
  </si>
  <si>
    <t>Value Traded at Amman Stock Exchange According to Sectors.................................................................................................</t>
  </si>
  <si>
    <t>Value Traded  at Amman Stock Exchange According to Sectors.................................................................................................</t>
  </si>
  <si>
    <t>Share Price Index Weighted by Market Capitalization of Free Float Shares by Sectors.................................................................................................</t>
  </si>
  <si>
    <t>Share Price Index Weighted by Market Value of Capital..................................................................................................</t>
  </si>
  <si>
    <t>Profitability of Jordanian Public Shareholding Companies..................................................................................................</t>
  </si>
  <si>
    <t>Mar&amp;Apr-20*</t>
  </si>
  <si>
    <t>Financial Sector Statistics</t>
  </si>
  <si>
    <t>Closing December (1000=1999)</t>
  </si>
  <si>
    <t xml:space="preserve">  ( 1999=1000) اغلاق كانون اول</t>
  </si>
  <si>
    <t xml:space="preserve">Share Price Index Weighted by Market Capitalization of Free Float Shares by Sectors    </t>
  </si>
  <si>
    <t xml:space="preserve">Financial Sector Statistics </t>
  </si>
  <si>
    <t>Percentage Change %</t>
  </si>
  <si>
    <t>Share Price Index Weighted By Market Value of Capital</t>
  </si>
  <si>
    <t>(1) : Preliminary.</t>
  </si>
  <si>
    <t>* : تمثل اربحية الشركات العائد على حقوق المساهمين ( صافي الربح  بعد الضرائب / حقوق المساهمين) .</t>
  </si>
  <si>
    <t xml:space="preserve">نسب مئوية
</t>
  </si>
  <si>
    <t>Percentages</t>
  </si>
  <si>
    <t>2020*</t>
  </si>
  <si>
    <t>* : Profitability of Companies Represents  Return on Equity  (Net Income After Taxes/Total Shareholders Equity).</t>
  </si>
  <si>
    <t>اربحية  الشركات  المساهمة العامة الاردنية وفقاً للقطاعات الاقتصادية *</t>
  </si>
  <si>
    <t>Profitability of Jordanian Public Shareholding Companies according to economic sectors *</t>
  </si>
  <si>
    <t>Profitability of Jordanian public shareholding companies according to economic sectors *</t>
  </si>
  <si>
    <t>اربحية  الشركات  المساهمة العامة الاردنية وفقاً للقطاعات الاقتصادية  *</t>
  </si>
  <si>
    <t>59a</t>
  </si>
  <si>
    <t xml:space="preserve">* : تم تعليق التداول في بورصة عمان اعتباراً من تاريخ 2020/3/17 بسبب تداعيات فيروس كورونا  وتم استئناف التداول اعتباراً من 2020/5/10. 
</t>
  </si>
  <si>
    <t>* : Trading on  Amman Stock Exchange has been suspended as of 17/3/2020 due to the repercussions
 of COVID-19, then trading has been resumed as of 10/5/2020.</t>
  </si>
  <si>
    <t xml:space="preserve"> المصدر : بورصة عمان.</t>
  </si>
  <si>
    <t>* : Trading on  Amman Stock Exchange has been suspended as of 17/3/2020 due to the repercussions of COVID-19, then trading
 has been resumed as of 10/5/2020.</t>
  </si>
  <si>
    <t>* : Trading on  Amman Stock Exchange has been suspended as of 17/3/2020 due to the repercussions of COVID-19, then trading has been resumed as of 10/5/2020.</t>
  </si>
  <si>
    <t>ملاحظة : ابتداءً من عام 2023، تم احتساب النسب من قبل البنك المركزي استناداً إلى بيانات دليل الشركات المنشورة على الموقع الالكتروني لبورصة عمان.</t>
  </si>
  <si>
    <t>Note : Since 2023,the percentages were calculated by the Central Bank based on the Companies'Guide data published on the Amman Stock Exchange website.</t>
  </si>
  <si>
    <t>(1) : أوليـــــة.</t>
  </si>
  <si>
    <r>
      <t>2024</t>
    </r>
    <r>
      <rPr>
        <b/>
        <vertAlign val="superscript"/>
        <sz val="24"/>
        <rFont val="Times New Roman"/>
        <family val="1"/>
      </rPr>
      <t>(1)</t>
    </r>
  </si>
  <si>
    <r>
      <t>2023</t>
    </r>
    <r>
      <rPr>
        <b/>
        <vertAlign val="superscript"/>
        <sz val="24"/>
        <rFont val="Times New Roman"/>
        <family val="1"/>
      </rPr>
      <t>(1)</t>
    </r>
  </si>
  <si>
    <r>
      <t>2022</t>
    </r>
    <r>
      <rPr>
        <b/>
        <vertAlign val="superscript"/>
        <sz val="24"/>
        <rFont val="Times New Roman"/>
        <family val="1"/>
      </rPr>
      <t>(1)</t>
    </r>
  </si>
  <si>
    <t xml:space="preserve">** حجم التداول في بورصة عمان موزعا حسب القطاعات  </t>
  </si>
  <si>
    <t>** Value Traded at Amman Stock Exchange According to Sectors</t>
  </si>
  <si>
    <t xml:space="preserve">**: قد تظهر فروقات بين حجم التداول السنوي لبعض القطاعات مع مجموع حجم التداول الشهري وذلك بسبب تغير التصنيف القطاعي لبعض الشركات خلال العام.
</t>
  </si>
  <si>
    <t>** : Discrepancies may appear between the annual trading values for certain sectors and the aggregate of their monthly data, due to changes in sectoral classification for certain companies during the year.</t>
  </si>
  <si>
    <r>
      <t>2025</t>
    </r>
    <r>
      <rPr>
        <b/>
        <vertAlign val="superscript"/>
        <sz val="24"/>
        <rFont val="Times New Roman"/>
        <family val="1"/>
      </rPr>
      <t>(1)</t>
    </r>
  </si>
  <si>
    <t xml:space="preserve">الرقم القياسي لاسعار الاسهم مرجحا بالقيمة السوقية للاسهم الحرة قطاعيا </t>
  </si>
  <si>
    <t xml:space="preserve"> الرقم القياسي لاسعار الاسهم مرجحا بالقيمة السوقية لرأس المال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</si>
</sst>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£&quot;#,##0;\-&quot;£&quot;#,##0"/>
    <numFmt numFmtId="165" formatCode="B1mmm\-yy"/>
    <numFmt numFmtId="166" formatCode="0.0"/>
    <numFmt numFmtId="167" formatCode="#,##0.0"/>
    <numFmt numFmtId="168" formatCode="_-* #,##0.00_-;_-* #,##0.00\-;_-* &quot;-&quot;??_-;_-@_-"/>
    <numFmt numFmtId="169" formatCode="mmmm\ d\,\ yyyy"/>
  </numFmts>
  <fonts count="6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0"/>
      <name val="Times New Roman"/>
      <family val="1"/>
    </font>
    <font>
      <b/>
      <sz val="28"/>
      <color theme="0"/>
      <name val="Times New Roman"/>
      <family val="1"/>
    </font>
    <font>
      <b/>
      <sz val="36"/>
      <color theme="0"/>
      <name val="Times New Roman"/>
      <family val="1"/>
    </font>
    <font>
      <b/>
      <sz val="20"/>
      <color theme="0"/>
      <name val="Times New Roman"/>
      <family val="1"/>
    </font>
    <font>
      <b/>
      <sz val="20"/>
      <color theme="1"/>
      <name val="Times New Roman"/>
      <family val="1"/>
    </font>
    <font>
      <sz val="10"/>
      <name val="Arial"/>
      <family val="2"/>
    </font>
    <font>
      <sz val="10"/>
      <name val="Geneva"/>
      <charset val="178"/>
    </font>
    <font>
      <b/>
      <sz val="18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20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name val="Times New Roman"/>
      <family val="1"/>
    </font>
    <font>
      <sz val="20"/>
      <color theme="0"/>
      <name val="Times New Roman"/>
      <family val="1"/>
    </font>
    <font>
      <b/>
      <vertAlign val="superscript"/>
      <sz val="24"/>
      <name val="Times New Roman"/>
      <family val="1"/>
    </font>
    <font>
      <b/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14"/>
      <color rgb="FFC00000"/>
      <name val="Times New Roman"/>
      <family val="1"/>
    </font>
    <font>
      <sz val="11"/>
      <color rgb="FFC00000"/>
      <name val="Calibri"/>
      <family val="2"/>
      <scheme val="minor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</font>
    <font>
      <b/>
      <sz val="28"/>
      <color rgb="FFC00000"/>
      <name val="Times New Roman"/>
      <family val="1"/>
    </font>
    <font>
      <sz val="16"/>
      <color theme="1"/>
      <name val="Calibri"/>
      <family val="2"/>
      <scheme val="minor"/>
    </font>
    <font>
      <sz val="16"/>
      <name val="Times New Roman (Arabic)"/>
    </font>
    <font>
      <sz val="16"/>
      <name val="Times New Roman"/>
      <family val="1"/>
    </font>
    <font>
      <b/>
      <sz val="24"/>
      <color theme="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sz val="18"/>
      <color rgb="FFC00000"/>
      <name val="Times New Roman"/>
      <family val="1"/>
    </font>
    <font>
      <u/>
      <sz val="18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b/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8"/>
      <name val="Arial"/>
      <family val="2"/>
    </font>
    <font>
      <b/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3889">
    <xf numFmtId="0" fontId="0" fillId="0" borderId="0"/>
    <xf numFmtId="0" fontId="8" fillId="0" borderId="0"/>
    <xf numFmtId="0" fontId="8" fillId="0" borderId="0"/>
    <xf numFmtId="0" fontId="9" fillId="0" borderId="0"/>
    <xf numFmtId="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8" fillId="0" borderId="0"/>
    <xf numFmtId="0" fontId="46" fillId="0" borderId="0" applyNumberFormat="0" applyFill="0" applyBorder="0" applyAlignment="0" applyProtection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49" fillId="0" borderId="48" applyNumberFormat="0" applyFill="0" applyAlignment="0" applyProtection="0"/>
    <xf numFmtId="0" fontId="4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51" fillId="7" borderId="0" applyNumberFormat="0" applyBorder="0" applyAlignment="0" applyProtection="0"/>
    <xf numFmtId="0" fontId="52" fillId="8" borderId="0" applyNumberFormat="0" applyBorder="0" applyAlignment="0" applyProtection="0"/>
    <xf numFmtId="0" fontId="53" fillId="9" borderId="49" applyNumberFormat="0" applyAlignment="0" applyProtection="0"/>
    <xf numFmtId="0" fontId="54" fillId="10" borderId="50" applyNumberFormat="0" applyAlignment="0" applyProtection="0"/>
    <xf numFmtId="0" fontId="55" fillId="10" borderId="49" applyNumberFormat="0" applyAlignment="0" applyProtection="0"/>
    <xf numFmtId="0" fontId="56" fillId="0" borderId="51" applyNumberFormat="0" applyFill="0" applyAlignment="0" applyProtection="0"/>
    <xf numFmtId="0" fontId="57" fillId="11" borderId="52" applyNumberFormat="0" applyAlignment="0" applyProtection="0"/>
    <xf numFmtId="0" fontId="58" fillId="0" borderId="0" applyNumberFormat="0" applyFill="0" applyBorder="0" applyAlignment="0" applyProtection="0"/>
    <xf numFmtId="0" fontId="44" fillId="12" borderId="53" applyNumberFormat="0" applyFont="0" applyAlignment="0" applyProtection="0"/>
    <xf numFmtId="0" fontId="59" fillId="0" borderId="0" applyNumberFormat="0" applyFill="0" applyBorder="0" applyAlignment="0" applyProtection="0"/>
    <xf numFmtId="0" fontId="60" fillId="0" borderId="54" applyNumberFormat="0" applyFill="0" applyAlignment="0" applyProtection="0"/>
    <xf numFmtId="0" fontId="61" fillId="13" borderId="0" applyNumberFormat="0" applyBorder="0" applyAlignment="0" applyProtection="0"/>
    <xf numFmtId="0" fontId="44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44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44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44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61" fillId="36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3" fillId="0" borderId="0"/>
    <xf numFmtId="0" fontId="44" fillId="30" borderId="0" applyNumberFormat="0" applyBorder="0" applyAlignment="0" applyProtection="0"/>
    <xf numFmtId="0" fontId="44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1" fillId="7" borderId="0" applyNumberFormat="0" applyBorder="0" applyAlignment="0" applyProtection="0"/>
    <xf numFmtId="0" fontId="55" fillId="10" borderId="49" applyNumberFormat="0" applyAlignment="0" applyProtection="0"/>
    <xf numFmtId="0" fontId="57" fillId="11" borderId="52" applyNumberFormat="0" applyAlignment="0" applyProtection="0"/>
    <xf numFmtId="168" fontId="44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49" fillId="0" borderId="48" applyNumberFormat="0" applyFill="0" applyAlignment="0" applyProtection="0"/>
    <xf numFmtId="0" fontId="49" fillId="0" borderId="0" applyNumberFormat="0" applyFill="0" applyBorder="0" applyAlignment="0" applyProtection="0"/>
    <xf numFmtId="0" fontId="53" fillId="9" borderId="49" applyNumberFormat="0" applyAlignment="0" applyProtection="0"/>
    <xf numFmtId="0" fontId="56" fillId="0" borderId="51" applyNumberFormat="0" applyFill="0" applyAlignment="0" applyProtection="0"/>
    <xf numFmtId="0" fontId="52" fillId="8" borderId="0" applyNumberFormat="0" applyBorder="0" applyAlignment="0" applyProtection="0"/>
    <xf numFmtId="0" fontId="44" fillId="12" borderId="53" applyNumberFormat="0" applyFont="0" applyAlignment="0" applyProtection="0"/>
    <xf numFmtId="0" fontId="54" fillId="10" borderId="50" applyNumberFormat="0" applyAlignment="0" applyProtection="0"/>
    <xf numFmtId="0" fontId="46" fillId="0" borderId="0" applyNumberFormat="0" applyFill="0" applyBorder="0" applyAlignment="0" applyProtection="0"/>
    <xf numFmtId="0" fontId="60" fillId="0" borderId="54" applyNumberFormat="0" applyFill="0" applyAlignment="0" applyProtection="0"/>
    <xf numFmtId="0" fontId="58" fillId="0" borderId="0" applyNumberForma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3" fontId="8" fillId="0" borderId="0" applyFill="0" applyBorder="0" applyAlignment="0" applyProtection="0"/>
    <xf numFmtId="164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167" fontId="8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0" fontId="8" fillId="0" borderId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60" fillId="0" borderId="54" applyNumberFormat="0" applyFill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</cellStyleXfs>
  <cellXfs count="236">
    <xf numFmtId="0" fontId="0" fillId="0" borderId="0" xfId="0"/>
    <xf numFmtId="0" fontId="1" fillId="0" borderId="0" xfId="0" applyFont="1"/>
    <xf numFmtId="0" fontId="15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167" fontId="16" fillId="4" borderId="2" xfId="0" applyNumberFormat="1" applyFont="1" applyFill="1" applyBorder="1" applyAlignment="1">
      <alignment horizontal="center" vertical="center"/>
    </xf>
    <xf numFmtId="167" fontId="7" fillId="4" borderId="2" xfId="0" applyNumberFormat="1" applyFont="1" applyFill="1" applyBorder="1" applyAlignment="1">
      <alignment horizontal="center" vertical="center"/>
    </xf>
    <xf numFmtId="0" fontId="17" fillId="0" borderId="0" xfId="0" applyFont="1"/>
    <xf numFmtId="0" fontId="7" fillId="2" borderId="2" xfId="0" applyFont="1" applyFill="1" applyBorder="1" applyAlignment="1">
      <alignment horizontal="center" vertical="center"/>
    </xf>
    <xf numFmtId="167" fontId="16" fillId="2" borderId="2" xfId="0" applyNumberFormat="1" applyFont="1" applyFill="1" applyBorder="1" applyAlignment="1">
      <alignment horizontal="center" vertical="center"/>
    </xf>
    <xf numFmtId="167" fontId="7" fillId="2" borderId="2" xfId="0" applyNumberFormat="1" applyFont="1" applyFill="1" applyBorder="1" applyAlignment="1">
      <alignment horizontal="center" vertical="center"/>
    </xf>
    <xf numFmtId="167" fontId="16" fillId="3" borderId="2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5" fontId="18" fillId="4" borderId="2" xfId="0" applyNumberFormat="1" applyFont="1" applyFill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166" fontId="19" fillId="4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0" fillId="0" borderId="0" xfId="0" applyFont="1"/>
    <xf numFmtId="166" fontId="19" fillId="4" borderId="3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 readingOrder="2"/>
    </xf>
    <xf numFmtId="0" fontId="27" fillId="2" borderId="0" xfId="0" applyFont="1" applyFill="1" applyBorder="1"/>
    <xf numFmtId="0" fontId="4" fillId="3" borderId="5" xfId="0" applyFont="1" applyFill="1" applyBorder="1" applyAlignment="1">
      <alignment horizontal="center" vertical="center" wrapText="1" readingOrder="2"/>
    </xf>
    <xf numFmtId="1" fontId="12" fillId="4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2"/>
    </xf>
    <xf numFmtId="0" fontId="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top" wrapText="1" readingOrder="1"/>
    </xf>
    <xf numFmtId="0" fontId="10" fillId="3" borderId="5" xfId="0" applyFont="1" applyFill="1" applyBorder="1" applyAlignment="1">
      <alignment horizont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166" fontId="6" fillId="3" borderId="16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right" vertical="center" readingOrder="2"/>
    </xf>
    <xf numFmtId="167" fontId="35" fillId="0" borderId="0" xfId="0" applyNumberFormat="1" applyFont="1" applyAlignment="1">
      <alignment horizontal="right" vertical="center" readingOrder="2"/>
    </xf>
    <xf numFmtId="167" fontId="35" fillId="0" borderId="0" xfId="0" applyNumberFormat="1" applyFont="1" applyAlignment="1">
      <alignment horizontal="right" vertical="center" wrapText="1" readingOrder="2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 readingOrder="2"/>
    </xf>
    <xf numFmtId="0" fontId="10" fillId="3" borderId="13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center" wrapText="1" readingOrder="2"/>
    </xf>
    <xf numFmtId="0" fontId="0" fillId="0" borderId="0" xfId="0" applyAlignment="1">
      <alignment wrapText="1"/>
    </xf>
    <xf numFmtId="0" fontId="37" fillId="5" borderId="0" xfId="6" applyFont="1" applyFill="1" applyAlignment="1">
      <alignment vertical="center"/>
    </xf>
    <xf numFmtId="0" fontId="39" fillId="2" borderId="0" xfId="7" applyFont="1" applyFill="1" applyBorder="1" applyAlignment="1" applyProtection="1">
      <alignment vertical="center"/>
    </xf>
    <xf numFmtId="0" fontId="37" fillId="2" borderId="0" xfId="0" applyFont="1" applyFill="1" applyBorder="1" applyAlignment="1">
      <alignment horizontal="left" vertical="center" readingOrder="1"/>
    </xf>
    <xf numFmtId="0" fontId="37" fillId="2" borderId="0" xfId="0" applyFont="1" applyFill="1" applyBorder="1" applyAlignment="1">
      <alignment horizontal="right" vertical="center" readingOrder="2"/>
    </xf>
    <xf numFmtId="0" fontId="30" fillId="2" borderId="0" xfId="0" applyFont="1" applyFill="1" applyBorder="1" applyAlignment="1">
      <alignment vertical="center"/>
    </xf>
    <xf numFmtId="49" fontId="40" fillId="2" borderId="0" xfId="6" applyNumberFormat="1" applyFont="1" applyFill="1" applyBorder="1" applyAlignment="1">
      <alignment horizontal="center" vertical="center" readingOrder="1"/>
    </xf>
    <xf numFmtId="0" fontId="30" fillId="2" borderId="0" xfId="0" applyFont="1" applyFill="1" applyBorder="1" applyAlignment="1">
      <alignment vertical="center" readingOrder="2"/>
    </xf>
    <xf numFmtId="49" fontId="41" fillId="2" borderId="0" xfId="7" applyNumberFormat="1" applyFont="1" applyFill="1" applyBorder="1" applyAlignment="1" applyProtection="1">
      <alignment horizontal="center" vertical="center" readingOrder="1"/>
    </xf>
    <xf numFmtId="165" fontId="18" fillId="2" borderId="1" xfId="0" applyNumberFormat="1" applyFont="1" applyFill="1" applyBorder="1" applyAlignment="1">
      <alignment horizontal="center" vertical="center"/>
    </xf>
    <xf numFmtId="167" fontId="16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 readingOrder="1"/>
    </xf>
    <xf numFmtId="0" fontId="24" fillId="2" borderId="0" xfId="0" applyFont="1" applyFill="1" applyBorder="1" applyAlignment="1">
      <alignment horizontal="left" vertical="center" readingOrder="1"/>
    </xf>
    <xf numFmtId="0" fontId="28" fillId="2" borderId="0" xfId="0" applyFont="1" applyFill="1" applyBorder="1" applyAlignment="1">
      <alignment horizontal="center" vertical="center" readingOrder="1"/>
    </xf>
    <xf numFmtId="0" fontId="28" fillId="2" borderId="0" xfId="0" applyFont="1" applyFill="1" applyBorder="1" applyAlignment="1">
      <alignment horizontal="center" vertical="center" wrapText="1" readingOrder="2"/>
    </xf>
    <xf numFmtId="0" fontId="25" fillId="2" borderId="0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readingOrder="1"/>
    </xf>
    <xf numFmtId="165" fontId="18" fillId="2" borderId="0" xfId="0" applyNumberFormat="1" applyFont="1" applyFill="1" applyBorder="1" applyAlignment="1">
      <alignment horizontal="center" vertical="center"/>
    </xf>
    <xf numFmtId="167" fontId="16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 readingOrder="1"/>
    </xf>
    <xf numFmtId="0" fontId="6" fillId="3" borderId="18" xfId="0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6" fillId="2" borderId="0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 wrapText="1" readingOrder="2"/>
    </xf>
    <xf numFmtId="0" fontId="14" fillId="0" borderId="0" xfId="0" applyFont="1" applyFill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26" fillId="2" borderId="0" xfId="0" applyFont="1" applyFill="1" applyBorder="1" applyAlignment="1">
      <alignment horizontal="left" wrapText="1" readingOrder="1"/>
    </xf>
    <xf numFmtId="0" fontId="0" fillId="0" borderId="0" xfId="0" applyAlignment="1">
      <alignment vertical="center" wrapText="1"/>
    </xf>
    <xf numFmtId="0" fontId="0" fillId="0" borderId="0" xfId="0" applyBorder="1"/>
    <xf numFmtId="0" fontId="6" fillId="3" borderId="5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167" fontId="6" fillId="3" borderId="2" xfId="0" applyNumberFormat="1" applyFont="1" applyFill="1" applyBorder="1" applyAlignment="1">
      <alignment horizontal="center" vertical="center"/>
    </xf>
    <xf numFmtId="167" fontId="22" fillId="3" borderId="2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top" wrapText="1" readingOrder="1"/>
    </xf>
    <xf numFmtId="167" fontId="6" fillId="3" borderId="2" xfId="0" applyNumberFormat="1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1" fontId="12" fillId="4" borderId="34" xfId="0" applyNumberFormat="1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36" fillId="3" borderId="6" xfId="0" applyFont="1" applyFill="1" applyBorder="1" applyAlignment="1">
      <alignment horizontal="center" vertical="center" wrapText="1" readingOrder="2"/>
    </xf>
    <xf numFmtId="0" fontId="36" fillId="3" borderId="14" xfId="0" applyFont="1" applyFill="1" applyBorder="1" applyAlignment="1">
      <alignment horizontal="center" vertical="center" wrapText="1" readingOrder="2"/>
    </xf>
    <xf numFmtId="0" fontId="20" fillId="0" borderId="0" xfId="0" applyFont="1" applyAlignment="1">
      <alignment vertical="center"/>
    </xf>
    <xf numFmtId="0" fontId="32" fillId="2" borderId="0" xfId="0" applyFont="1" applyFill="1" applyBorder="1" applyAlignment="1">
      <alignment vertical="center" readingOrder="1"/>
    </xf>
    <xf numFmtId="0" fontId="30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center" vertical="center" wrapText="1" readingOrder="1"/>
    </xf>
    <xf numFmtId="0" fontId="19" fillId="0" borderId="2" xfId="0" applyFont="1" applyFill="1" applyBorder="1" applyAlignment="1">
      <alignment horizontal="center" vertical="center"/>
    </xf>
    <xf numFmtId="166" fontId="19" fillId="0" borderId="2" xfId="0" applyNumberFormat="1" applyFont="1" applyFill="1" applyBorder="1" applyAlignment="1">
      <alignment horizontal="center" vertical="center"/>
    </xf>
    <xf numFmtId="166" fontId="35" fillId="0" borderId="0" xfId="0" applyNumberFormat="1" applyFont="1" applyFill="1" applyAlignment="1">
      <alignment vertical="center"/>
    </xf>
    <xf numFmtId="167" fontId="35" fillId="0" borderId="0" xfId="0" applyNumberFormat="1" applyFont="1" applyAlignment="1">
      <alignment vertical="center" wrapText="1" readingOrder="2"/>
    </xf>
    <xf numFmtId="0" fontId="29" fillId="2" borderId="39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 vertical="center" wrapText="1" readingOrder="1"/>
    </xf>
    <xf numFmtId="0" fontId="32" fillId="2" borderId="39" xfId="0" applyFont="1" applyFill="1" applyBorder="1" applyAlignment="1">
      <alignment horizontal="center" vertical="center" wrapText="1" readingOrder="1"/>
    </xf>
    <xf numFmtId="0" fontId="32" fillId="2" borderId="5" xfId="0" applyFont="1" applyFill="1" applyBorder="1" applyAlignment="1">
      <alignment horizontal="center" vertical="center" wrapText="1" readingOrder="1"/>
    </xf>
    <xf numFmtId="0" fontId="31" fillId="2" borderId="40" xfId="0" applyFont="1" applyFill="1" applyBorder="1" applyAlignment="1">
      <alignment horizontal="left" wrapText="1"/>
    </xf>
    <xf numFmtId="0" fontId="32" fillId="2" borderId="4" xfId="0" applyFont="1" applyFill="1" applyBorder="1" applyAlignment="1">
      <alignment vertical="center" readingOrder="1"/>
    </xf>
    <xf numFmtId="0" fontId="31" fillId="2" borderId="4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vertical="center" wrapText="1"/>
    </xf>
    <xf numFmtId="166" fontId="19" fillId="0" borderId="3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top" wrapText="1" readingOrder="1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 readingOrder="2"/>
    </xf>
    <xf numFmtId="0" fontId="6" fillId="3" borderId="41" xfId="0" applyFont="1" applyFill="1" applyBorder="1" applyAlignment="1">
      <alignment horizontal="center" vertical="center"/>
    </xf>
    <xf numFmtId="167" fontId="6" fillId="3" borderId="41" xfId="0" applyNumberFormat="1" applyFont="1" applyFill="1" applyBorder="1" applyAlignment="1">
      <alignment vertical="center"/>
    </xf>
    <xf numFmtId="167" fontId="6" fillId="3" borderId="41" xfId="0" applyNumberFormat="1" applyFont="1" applyFill="1" applyBorder="1" applyAlignment="1">
      <alignment horizontal="center" vertical="center"/>
    </xf>
    <xf numFmtId="0" fontId="0" fillId="0" borderId="42" xfId="0" applyBorder="1"/>
    <xf numFmtId="167" fontId="17" fillId="0" borderId="0" xfId="0" applyNumberFormat="1" applyFont="1"/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15" fillId="0" borderId="0" xfId="0" applyFont="1" applyFill="1" applyAlignment="1">
      <alignment vertical="top"/>
    </xf>
    <xf numFmtId="0" fontId="10" fillId="3" borderId="5" xfId="0" applyFont="1" applyFill="1" applyBorder="1" applyAlignment="1">
      <alignment horizontal="center" vertical="center" wrapText="1" readingOrder="2"/>
    </xf>
    <xf numFmtId="0" fontId="36" fillId="3" borderId="43" xfId="0" applyFont="1" applyFill="1" applyBorder="1" applyAlignment="1">
      <alignment horizontal="center" vertical="center" wrapText="1" readingOrder="2"/>
    </xf>
    <xf numFmtId="0" fontId="36" fillId="3" borderId="5" xfId="0" applyFont="1" applyFill="1" applyBorder="1" applyAlignment="1">
      <alignment horizontal="center" vertical="center" wrapText="1" readingOrder="2"/>
    </xf>
    <xf numFmtId="0" fontId="36" fillId="3" borderId="45" xfId="0" applyFont="1" applyFill="1" applyBorder="1" applyAlignment="1">
      <alignment horizontal="center" vertical="center" wrapText="1" readingOrder="2"/>
    </xf>
    <xf numFmtId="166" fontId="20" fillId="4" borderId="2" xfId="0" applyNumberFormat="1" applyFont="1" applyFill="1" applyBorder="1" applyAlignment="1">
      <alignment horizontal="center" vertical="center"/>
    </xf>
    <xf numFmtId="166" fontId="20" fillId="0" borderId="2" xfId="0" applyNumberFormat="1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166" fontId="21" fillId="0" borderId="2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top"/>
    </xf>
    <xf numFmtId="0" fontId="21" fillId="4" borderId="1" xfId="0" applyFont="1" applyFill="1" applyBorder="1" applyAlignment="1">
      <alignment horizontal="center" vertical="center"/>
    </xf>
    <xf numFmtId="166" fontId="19" fillId="4" borderId="1" xfId="0" applyNumberFormat="1" applyFont="1" applyFill="1" applyBorder="1" applyAlignment="1">
      <alignment horizontal="center" vertical="center"/>
    </xf>
    <xf numFmtId="166" fontId="20" fillId="4" borderId="1" xfId="0" applyNumberFormat="1" applyFont="1" applyFill="1" applyBorder="1" applyAlignment="1">
      <alignment horizontal="center" vertical="center"/>
    </xf>
    <xf numFmtId="165" fontId="18" fillId="4" borderId="1" xfId="0" applyNumberFormat="1" applyFont="1" applyFill="1" applyBorder="1" applyAlignment="1">
      <alignment horizontal="center" vertical="center"/>
    </xf>
    <xf numFmtId="167" fontId="16" fillId="4" borderId="1" xfId="0" applyNumberFormat="1" applyFont="1" applyFill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center" vertical="center"/>
    </xf>
    <xf numFmtId="167" fontId="0" fillId="0" borderId="0" xfId="0" applyNumberFormat="1"/>
    <xf numFmtId="0" fontId="28" fillId="2" borderId="0" xfId="6" applyFont="1" applyFill="1" applyBorder="1" applyAlignment="1">
      <alignment horizontal="center" vertical="center"/>
    </xf>
    <xf numFmtId="0" fontId="30" fillId="2" borderId="0" xfId="6" applyFont="1" applyFill="1" applyBorder="1" applyAlignment="1">
      <alignment horizontal="center" vertical="center" wrapText="1"/>
    </xf>
    <xf numFmtId="0" fontId="30" fillId="2" borderId="0" xfId="6" applyFont="1" applyFill="1" applyBorder="1" applyAlignment="1">
      <alignment horizontal="center" vertical="center"/>
    </xf>
    <xf numFmtId="0" fontId="24" fillId="2" borderId="0" xfId="6" applyFont="1" applyFill="1" applyBorder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 wrapText="1" readingOrder="2"/>
    </xf>
    <xf numFmtId="0" fontId="28" fillId="2" borderId="0" xfId="0" applyFont="1" applyFill="1" applyBorder="1" applyAlignment="1">
      <alignment horizontal="right" vertical="center" readingOrder="1"/>
    </xf>
    <xf numFmtId="0" fontId="28" fillId="2" borderId="0" xfId="0" applyFont="1" applyFill="1" applyBorder="1" applyAlignment="1">
      <alignment horizontal="left" vertical="center" readingOrder="1"/>
    </xf>
    <xf numFmtId="0" fontId="29" fillId="2" borderId="0" xfId="0" applyFont="1" applyFill="1" applyBorder="1" applyAlignment="1">
      <alignment horizontal="center" vertical="center" readingOrder="1"/>
    </xf>
    <xf numFmtId="0" fontId="28" fillId="2" borderId="0" xfId="0" applyFont="1" applyFill="1" applyBorder="1" applyAlignment="1">
      <alignment horizontal="center" vertical="center" wrapText="1" readingOrder="2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 readingOrder="2"/>
    </xf>
    <xf numFmtId="0" fontId="6" fillId="3" borderId="20" xfId="0" applyFont="1" applyFill="1" applyBorder="1" applyAlignment="1">
      <alignment horizontal="center" vertical="center" wrapText="1" readingOrder="2"/>
    </xf>
    <xf numFmtId="0" fontId="10" fillId="3" borderId="7" xfId="0" applyFont="1" applyFill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horizontal="center" vertical="center" wrapText="1" readingOrder="2"/>
    </xf>
    <xf numFmtId="0" fontId="10" fillId="3" borderId="15" xfId="0" applyFont="1" applyFill="1" applyBorder="1" applyAlignment="1">
      <alignment horizontal="center" vertical="center" wrapText="1" readingOrder="2"/>
    </xf>
    <xf numFmtId="0" fontId="42" fillId="0" borderId="0" xfId="0" applyFont="1" applyFill="1" applyAlignment="1">
      <alignment horizontal="left" vertical="top" wrapText="1"/>
    </xf>
    <xf numFmtId="0" fontId="6" fillId="3" borderId="7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3" fillId="3" borderId="10" xfId="0" applyFont="1" applyFill="1" applyBorder="1" applyAlignment="1">
      <alignment horizontal="center" vertical="center" wrapText="1" readingOrder="2"/>
    </xf>
    <xf numFmtId="0" fontId="3" fillId="3" borderId="12" xfId="0" applyFont="1" applyFill="1" applyBorder="1" applyAlignment="1">
      <alignment horizontal="center" vertical="center" wrapText="1" readingOrder="2"/>
    </xf>
    <xf numFmtId="0" fontId="3" fillId="3" borderId="14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top" wrapText="1" readingOrder="1"/>
    </xf>
    <xf numFmtId="0" fontId="6" fillId="3" borderId="7" xfId="0" applyFont="1" applyFill="1" applyBorder="1" applyAlignment="1">
      <alignment horizontal="center" vertical="top" wrapText="1" readingOrder="1"/>
    </xf>
    <xf numFmtId="0" fontId="36" fillId="3" borderId="19" xfId="0" applyFont="1" applyFill="1" applyBorder="1" applyAlignment="1">
      <alignment horizontal="center" vertical="center" wrapText="1" readingOrder="2"/>
    </xf>
    <xf numFmtId="0" fontId="6" fillId="3" borderId="21" xfId="0" applyFont="1" applyFill="1" applyBorder="1" applyAlignment="1">
      <alignment horizontal="center" vertical="top" wrapText="1" readingOrder="1"/>
    </xf>
    <xf numFmtId="0" fontId="36" fillId="3" borderId="20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 readingOrder="1"/>
    </xf>
    <xf numFmtId="0" fontId="26" fillId="2" borderId="0" xfId="0" applyFont="1" applyFill="1" applyBorder="1" applyAlignment="1">
      <alignment horizontal="left" vertical="center" wrapText="1" readingOrder="1"/>
    </xf>
    <xf numFmtId="0" fontId="24" fillId="2" borderId="0" xfId="0" applyFont="1" applyFill="1" applyBorder="1" applyAlignment="1">
      <alignment horizontal="right" vertical="center" readingOrder="1"/>
    </xf>
    <xf numFmtId="0" fontId="14" fillId="0" borderId="0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22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3" borderId="21" xfId="0" applyFont="1" applyFill="1" applyBorder="1" applyAlignment="1">
      <alignment horizontal="center" vertical="center" wrapText="1" readingOrder="2"/>
    </xf>
    <xf numFmtId="0" fontId="6" fillId="3" borderId="21" xfId="0" applyFont="1" applyFill="1" applyBorder="1" applyAlignment="1">
      <alignment horizontal="center" vertical="center" wrapText="1" readingOrder="1"/>
    </xf>
    <xf numFmtId="0" fontId="6" fillId="3" borderId="23" xfId="0" applyFont="1" applyFill="1" applyBorder="1" applyAlignment="1">
      <alignment horizontal="center" vertical="center" wrapText="1" readingOrder="1"/>
    </xf>
    <xf numFmtId="0" fontId="29" fillId="2" borderId="0" xfId="0" applyFont="1" applyFill="1" applyBorder="1" applyAlignment="1">
      <alignment horizontal="center" readingOrder="1"/>
    </xf>
    <xf numFmtId="0" fontId="24" fillId="2" borderId="0" xfId="0" applyFont="1" applyFill="1" applyBorder="1" applyAlignment="1">
      <alignment horizontal="left" vertical="center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3" borderId="15" xfId="0" applyFont="1" applyFill="1" applyBorder="1" applyAlignment="1">
      <alignment horizontal="center" vertical="center" wrapText="1" readingOrder="1"/>
    </xf>
    <xf numFmtId="0" fontId="10" fillId="3" borderId="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readingOrder="1"/>
    </xf>
    <xf numFmtId="166" fontId="35" fillId="0" borderId="0" xfId="0" applyNumberFormat="1" applyFont="1" applyFill="1" applyAlignment="1">
      <alignment horizontal="left" vertical="center"/>
    </xf>
    <xf numFmtId="0" fontId="3" fillId="3" borderId="44" xfId="0" applyFont="1" applyFill="1" applyBorder="1" applyAlignment="1">
      <alignment horizontal="center" vertical="center" wrapText="1" readingOrder="2"/>
    </xf>
    <xf numFmtId="0" fontId="3" fillId="3" borderId="37" xfId="0" applyFont="1" applyFill="1" applyBorder="1" applyAlignment="1">
      <alignment horizontal="center" vertical="center" wrapText="1" readingOrder="2"/>
    </xf>
    <xf numFmtId="0" fontId="3" fillId="3" borderId="24" xfId="0" applyFont="1" applyFill="1" applyBorder="1" applyAlignment="1">
      <alignment horizontal="center" vertical="center" wrapText="1" readingOrder="2"/>
    </xf>
    <xf numFmtId="0" fontId="3" fillId="3" borderId="38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1"/>
    </xf>
    <xf numFmtId="0" fontId="32" fillId="2" borderId="0" xfId="0" applyFont="1" applyFill="1" applyBorder="1" applyAlignment="1">
      <alignment horizontal="left" vertical="center" readingOrder="1"/>
    </xf>
    <xf numFmtId="0" fontId="2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right" vertical="center" readingOrder="1"/>
    </xf>
    <xf numFmtId="0" fontId="2" fillId="0" borderId="0" xfId="0" applyFont="1" applyAlignment="1">
      <alignment horizontal="center"/>
    </xf>
    <xf numFmtId="0" fontId="36" fillId="3" borderId="10" xfId="0" applyFont="1" applyFill="1" applyBorder="1" applyAlignment="1">
      <alignment horizontal="center" vertical="center" wrapText="1" readingOrder="2"/>
    </xf>
    <xf numFmtId="0" fontId="36" fillId="3" borderId="14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1"/>
    </xf>
    <xf numFmtId="0" fontId="28" fillId="2" borderId="4" xfId="0" applyFont="1" applyFill="1" applyBorder="1" applyAlignment="1">
      <alignment horizontal="left" vertical="center" readingOrder="1"/>
    </xf>
    <xf numFmtId="0" fontId="10" fillId="3" borderId="8" xfId="0" applyFont="1" applyFill="1" applyBorder="1" applyAlignment="1">
      <alignment horizontal="center" vertical="center" wrapText="1" readingOrder="2"/>
    </xf>
    <xf numFmtId="0" fontId="10" fillId="3" borderId="11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8" fillId="2" borderId="28" xfId="0" applyFont="1" applyFill="1" applyBorder="1" applyAlignment="1">
      <alignment horizontal="right" vertical="center" readingOrder="1"/>
    </xf>
    <xf numFmtId="0" fontId="28" fillId="2" borderId="29" xfId="0" applyFont="1" applyFill="1" applyBorder="1" applyAlignment="1">
      <alignment horizontal="right" vertical="center" readingOrder="1"/>
    </xf>
    <xf numFmtId="0" fontId="28" fillId="2" borderId="30" xfId="0" applyFont="1" applyFill="1" applyBorder="1" applyAlignment="1">
      <alignment horizontal="right" vertical="center" readingOrder="1"/>
    </xf>
    <xf numFmtId="0" fontId="29" fillId="2" borderId="31" xfId="0" applyFont="1" applyFill="1" applyBorder="1" applyAlignment="1">
      <alignment horizontal="center" vertical="center" readingOrder="1"/>
    </xf>
    <xf numFmtId="0" fontId="29" fillId="2" borderId="32" xfId="0" applyFont="1" applyFill="1" applyBorder="1" applyAlignment="1">
      <alignment horizontal="center" vertical="center" readingOrder="1"/>
    </xf>
    <xf numFmtId="0" fontId="29" fillId="2" borderId="33" xfId="0" applyFont="1" applyFill="1" applyBorder="1" applyAlignment="1">
      <alignment horizontal="center" vertical="center" readingOrder="1"/>
    </xf>
  </cellXfs>
  <cellStyles count="23889">
    <cellStyle name="20% - Accent1 10" xfId="9"/>
    <cellStyle name="20% - Accent1 10 2" xfId="10"/>
    <cellStyle name="20% - Accent1 11" xfId="11"/>
    <cellStyle name="20% - Accent1 12" xfId="12"/>
    <cellStyle name="20% - Accent1 13" xfId="13"/>
    <cellStyle name="20% - Accent1 14" xfId="14"/>
    <cellStyle name="20% - Accent1 2" xfId="15"/>
    <cellStyle name="20% - Accent1 2 10" xfId="16"/>
    <cellStyle name="20% - Accent1 2 2" xfId="17"/>
    <cellStyle name="20% - Accent1 2 2 2" xfId="18"/>
    <cellStyle name="20% - Accent1 2 2 2 2" xfId="19"/>
    <cellStyle name="20% - Accent1 2 2 2 2 2" xfId="20"/>
    <cellStyle name="20% - Accent1 2 2 2 2 2 2" xfId="21"/>
    <cellStyle name="20% - Accent1 2 2 2 2 2 2 2" xfId="22"/>
    <cellStyle name="20% - Accent1 2 2 2 2 2 2 2 2" xfId="23"/>
    <cellStyle name="20% - Accent1 2 2 2 2 2 2 2 2 2" xfId="24"/>
    <cellStyle name="20% - Accent1 2 2 2 2 2 2 2 2 2 2" xfId="25"/>
    <cellStyle name="20% - Accent1 2 2 2 2 2 2 2 2 3" xfId="26"/>
    <cellStyle name="20% - Accent1 2 2 2 2 2 2 2 3" xfId="27"/>
    <cellStyle name="20% - Accent1 2 2 2 2 2 2 2 3 2" xfId="28"/>
    <cellStyle name="20% - Accent1 2 2 2 2 2 2 2 4" xfId="29"/>
    <cellStyle name="20% - Accent1 2 2 2 2 2 2 3" xfId="30"/>
    <cellStyle name="20% - Accent1 2 2 2 2 2 2 3 2" xfId="31"/>
    <cellStyle name="20% - Accent1 2 2 2 2 2 2 3 2 2" xfId="32"/>
    <cellStyle name="20% - Accent1 2 2 2 2 2 2 3 3" xfId="33"/>
    <cellStyle name="20% - Accent1 2 2 2 2 2 2 4" xfId="34"/>
    <cellStyle name="20% - Accent1 2 2 2 2 2 2 4 2" xfId="35"/>
    <cellStyle name="20% - Accent1 2 2 2 2 2 2 5" xfId="36"/>
    <cellStyle name="20% - Accent1 2 2 2 2 2 3" xfId="37"/>
    <cellStyle name="20% - Accent1 2 2 2 2 2 3 2" xfId="38"/>
    <cellStyle name="20% - Accent1 2 2 2 2 2 3 2 2" xfId="39"/>
    <cellStyle name="20% - Accent1 2 2 2 2 2 3 2 2 2" xfId="40"/>
    <cellStyle name="20% - Accent1 2 2 2 2 2 3 2 3" xfId="41"/>
    <cellStyle name="20% - Accent1 2 2 2 2 2 3 3" xfId="42"/>
    <cellStyle name="20% - Accent1 2 2 2 2 2 3 3 2" xfId="43"/>
    <cellStyle name="20% - Accent1 2 2 2 2 2 3 4" xfId="44"/>
    <cellStyle name="20% - Accent1 2 2 2 2 2 4" xfId="45"/>
    <cellStyle name="20% - Accent1 2 2 2 2 2 4 2" xfId="46"/>
    <cellStyle name="20% - Accent1 2 2 2 2 2 4 2 2" xfId="47"/>
    <cellStyle name="20% - Accent1 2 2 2 2 2 4 3" xfId="48"/>
    <cellStyle name="20% - Accent1 2 2 2 2 2 5" xfId="49"/>
    <cellStyle name="20% - Accent1 2 2 2 2 2 5 2" xfId="50"/>
    <cellStyle name="20% - Accent1 2 2 2 2 2 6" xfId="51"/>
    <cellStyle name="20% - Accent1 2 2 2 2 3" xfId="52"/>
    <cellStyle name="20% - Accent1 2 2 2 2 3 2" xfId="53"/>
    <cellStyle name="20% - Accent1 2 2 2 2 3 2 2" xfId="54"/>
    <cellStyle name="20% - Accent1 2 2 2 2 3 2 2 2" xfId="55"/>
    <cellStyle name="20% - Accent1 2 2 2 2 3 2 2 2 2" xfId="56"/>
    <cellStyle name="20% - Accent1 2 2 2 2 3 2 2 3" xfId="57"/>
    <cellStyle name="20% - Accent1 2 2 2 2 3 2 3" xfId="58"/>
    <cellStyle name="20% - Accent1 2 2 2 2 3 2 3 2" xfId="59"/>
    <cellStyle name="20% - Accent1 2 2 2 2 3 2 4" xfId="60"/>
    <cellStyle name="20% - Accent1 2 2 2 2 3 3" xfId="61"/>
    <cellStyle name="20% - Accent1 2 2 2 2 3 3 2" xfId="62"/>
    <cellStyle name="20% - Accent1 2 2 2 2 3 3 2 2" xfId="63"/>
    <cellStyle name="20% - Accent1 2 2 2 2 3 3 3" xfId="64"/>
    <cellStyle name="20% - Accent1 2 2 2 2 3 4" xfId="65"/>
    <cellStyle name="20% - Accent1 2 2 2 2 3 4 2" xfId="66"/>
    <cellStyle name="20% - Accent1 2 2 2 2 3 5" xfId="67"/>
    <cellStyle name="20% - Accent1 2 2 2 2 4" xfId="68"/>
    <cellStyle name="20% - Accent1 2 2 2 2 4 2" xfId="69"/>
    <cellStyle name="20% - Accent1 2 2 2 2 4 2 2" xfId="70"/>
    <cellStyle name="20% - Accent1 2 2 2 2 4 2 2 2" xfId="71"/>
    <cellStyle name="20% - Accent1 2 2 2 2 4 2 3" xfId="72"/>
    <cellStyle name="20% - Accent1 2 2 2 2 4 3" xfId="73"/>
    <cellStyle name="20% - Accent1 2 2 2 2 4 3 2" xfId="74"/>
    <cellStyle name="20% - Accent1 2 2 2 2 4 4" xfId="75"/>
    <cellStyle name="20% - Accent1 2 2 2 2 5" xfId="76"/>
    <cellStyle name="20% - Accent1 2 2 2 2 5 2" xfId="77"/>
    <cellStyle name="20% - Accent1 2 2 2 2 5 2 2" xfId="78"/>
    <cellStyle name="20% - Accent1 2 2 2 2 5 3" xfId="79"/>
    <cellStyle name="20% - Accent1 2 2 2 2 6" xfId="80"/>
    <cellStyle name="20% - Accent1 2 2 2 2 6 2" xfId="81"/>
    <cellStyle name="20% - Accent1 2 2 2 2 7" xfId="82"/>
    <cellStyle name="20% - Accent1 2 2 2 3" xfId="83"/>
    <cellStyle name="20% - Accent1 2 2 2 3 2" xfId="84"/>
    <cellStyle name="20% - Accent1 2 2 2 3 2 2" xfId="85"/>
    <cellStyle name="20% - Accent1 2 2 2 3 2 2 2" xfId="86"/>
    <cellStyle name="20% - Accent1 2 2 2 3 2 2 2 2" xfId="87"/>
    <cellStyle name="20% - Accent1 2 2 2 3 2 2 2 2 2" xfId="88"/>
    <cellStyle name="20% - Accent1 2 2 2 3 2 2 2 3" xfId="89"/>
    <cellStyle name="20% - Accent1 2 2 2 3 2 2 3" xfId="90"/>
    <cellStyle name="20% - Accent1 2 2 2 3 2 2 3 2" xfId="91"/>
    <cellStyle name="20% - Accent1 2 2 2 3 2 2 4" xfId="92"/>
    <cellStyle name="20% - Accent1 2 2 2 3 2 3" xfId="93"/>
    <cellStyle name="20% - Accent1 2 2 2 3 2 3 2" xfId="94"/>
    <cellStyle name="20% - Accent1 2 2 2 3 2 3 2 2" xfId="95"/>
    <cellStyle name="20% - Accent1 2 2 2 3 2 3 3" xfId="96"/>
    <cellStyle name="20% - Accent1 2 2 2 3 2 4" xfId="97"/>
    <cellStyle name="20% - Accent1 2 2 2 3 2 4 2" xfId="98"/>
    <cellStyle name="20% - Accent1 2 2 2 3 2 5" xfId="99"/>
    <cellStyle name="20% - Accent1 2 2 2 3 3" xfId="100"/>
    <cellStyle name="20% - Accent1 2 2 2 3 3 2" xfId="101"/>
    <cellStyle name="20% - Accent1 2 2 2 3 3 2 2" xfId="102"/>
    <cellStyle name="20% - Accent1 2 2 2 3 3 2 2 2" xfId="103"/>
    <cellStyle name="20% - Accent1 2 2 2 3 3 2 3" xfId="104"/>
    <cellStyle name="20% - Accent1 2 2 2 3 3 3" xfId="105"/>
    <cellStyle name="20% - Accent1 2 2 2 3 3 3 2" xfId="106"/>
    <cellStyle name="20% - Accent1 2 2 2 3 3 4" xfId="107"/>
    <cellStyle name="20% - Accent1 2 2 2 3 4" xfId="108"/>
    <cellStyle name="20% - Accent1 2 2 2 3 4 2" xfId="109"/>
    <cellStyle name="20% - Accent1 2 2 2 3 4 2 2" xfId="110"/>
    <cellStyle name="20% - Accent1 2 2 2 3 4 3" xfId="111"/>
    <cellStyle name="20% - Accent1 2 2 2 3 5" xfId="112"/>
    <cellStyle name="20% - Accent1 2 2 2 3 5 2" xfId="113"/>
    <cellStyle name="20% - Accent1 2 2 2 3 6" xfId="114"/>
    <cellStyle name="20% - Accent1 2 2 2 4" xfId="115"/>
    <cellStyle name="20% - Accent1 2 2 2 4 2" xfId="116"/>
    <cellStyle name="20% - Accent1 2 2 2 4 2 2" xfId="117"/>
    <cellStyle name="20% - Accent1 2 2 2 4 2 2 2" xfId="118"/>
    <cellStyle name="20% - Accent1 2 2 2 4 2 2 2 2" xfId="119"/>
    <cellStyle name="20% - Accent1 2 2 2 4 2 2 3" xfId="120"/>
    <cellStyle name="20% - Accent1 2 2 2 4 2 3" xfId="121"/>
    <cellStyle name="20% - Accent1 2 2 2 4 2 3 2" xfId="122"/>
    <cellStyle name="20% - Accent1 2 2 2 4 2 4" xfId="123"/>
    <cellStyle name="20% - Accent1 2 2 2 4 3" xfId="124"/>
    <cellStyle name="20% - Accent1 2 2 2 4 3 2" xfId="125"/>
    <cellStyle name="20% - Accent1 2 2 2 4 3 2 2" xfId="126"/>
    <cellStyle name="20% - Accent1 2 2 2 4 3 3" xfId="127"/>
    <cellStyle name="20% - Accent1 2 2 2 4 4" xfId="128"/>
    <cellStyle name="20% - Accent1 2 2 2 4 4 2" xfId="129"/>
    <cellStyle name="20% - Accent1 2 2 2 4 5" xfId="130"/>
    <cellStyle name="20% - Accent1 2 2 2 5" xfId="131"/>
    <cellStyle name="20% - Accent1 2 2 2 5 2" xfId="132"/>
    <cellStyle name="20% - Accent1 2 2 2 5 2 2" xfId="133"/>
    <cellStyle name="20% - Accent1 2 2 2 5 2 2 2" xfId="134"/>
    <cellStyle name="20% - Accent1 2 2 2 5 2 3" xfId="135"/>
    <cellStyle name="20% - Accent1 2 2 2 5 3" xfId="136"/>
    <cellStyle name="20% - Accent1 2 2 2 5 3 2" xfId="137"/>
    <cellStyle name="20% - Accent1 2 2 2 5 4" xfId="138"/>
    <cellStyle name="20% - Accent1 2 2 2 6" xfId="139"/>
    <cellStyle name="20% - Accent1 2 2 2 6 2" xfId="140"/>
    <cellStyle name="20% - Accent1 2 2 2 6 2 2" xfId="141"/>
    <cellStyle name="20% - Accent1 2 2 2 6 3" xfId="142"/>
    <cellStyle name="20% - Accent1 2 2 2 7" xfId="143"/>
    <cellStyle name="20% - Accent1 2 2 2 7 2" xfId="144"/>
    <cellStyle name="20% - Accent1 2 2 2 8" xfId="145"/>
    <cellStyle name="20% - Accent1 2 2 3" xfId="146"/>
    <cellStyle name="20% - Accent1 2 2 3 2" xfId="147"/>
    <cellStyle name="20% - Accent1 2 2 3 2 2" xfId="148"/>
    <cellStyle name="20% - Accent1 2 2 3 2 2 2" xfId="149"/>
    <cellStyle name="20% - Accent1 2 2 3 2 2 2 2" xfId="150"/>
    <cellStyle name="20% - Accent1 2 2 3 2 2 2 2 2" xfId="151"/>
    <cellStyle name="20% - Accent1 2 2 3 2 2 2 2 2 2" xfId="152"/>
    <cellStyle name="20% - Accent1 2 2 3 2 2 2 2 3" xfId="153"/>
    <cellStyle name="20% - Accent1 2 2 3 2 2 2 3" xfId="154"/>
    <cellStyle name="20% - Accent1 2 2 3 2 2 2 3 2" xfId="155"/>
    <cellStyle name="20% - Accent1 2 2 3 2 2 2 4" xfId="156"/>
    <cellStyle name="20% - Accent1 2 2 3 2 2 3" xfId="157"/>
    <cellStyle name="20% - Accent1 2 2 3 2 2 3 2" xfId="158"/>
    <cellStyle name="20% - Accent1 2 2 3 2 2 3 2 2" xfId="159"/>
    <cellStyle name="20% - Accent1 2 2 3 2 2 3 3" xfId="160"/>
    <cellStyle name="20% - Accent1 2 2 3 2 2 4" xfId="161"/>
    <cellStyle name="20% - Accent1 2 2 3 2 2 4 2" xfId="162"/>
    <cellStyle name="20% - Accent1 2 2 3 2 2 5" xfId="163"/>
    <cellStyle name="20% - Accent1 2 2 3 2 3" xfId="164"/>
    <cellStyle name="20% - Accent1 2 2 3 2 3 2" xfId="165"/>
    <cellStyle name="20% - Accent1 2 2 3 2 3 2 2" xfId="166"/>
    <cellStyle name="20% - Accent1 2 2 3 2 3 2 2 2" xfId="167"/>
    <cellStyle name="20% - Accent1 2 2 3 2 3 2 3" xfId="168"/>
    <cellStyle name="20% - Accent1 2 2 3 2 3 3" xfId="169"/>
    <cellStyle name="20% - Accent1 2 2 3 2 3 3 2" xfId="170"/>
    <cellStyle name="20% - Accent1 2 2 3 2 3 4" xfId="171"/>
    <cellStyle name="20% - Accent1 2 2 3 2 4" xfId="172"/>
    <cellStyle name="20% - Accent1 2 2 3 2 4 2" xfId="173"/>
    <cellStyle name="20% - Accent1 2 2 3 2 4 2 2" xfId="174"/>
    <cellStyle name="20% - Accent1 2 2 3 2 4 3" xfId="175"/>
    <cellStyle name="20% - Accent1 2 2 3 2 5" xfId="176"/>
    <cellStyle name="20% - Accent1 2 2 3 2 5 2" xfId="177"/>
    <cellStyle name="20% - Accent1 2 2 3 2 6" xfId="178"/>
    <cellStyle name="20% - Accent1 2 2 3 3" xfId="179"/>
    <cellStyle name="20% - Accent1 2 2 3 3 2" xfId="180"/>
    <cellStyle name="20% - Accent1 2 2 3 3 2 2" xfId="181"/>
    <cellStyle name="20% - Accent1 2 2 3 3 2 2 2" xfId="182"/>
    <cellStyle name="20% - Accent1 2 2 3 3 2 2 2 2" xfId="183"/>
    <cellStyle name="20% - Accent1 2 2 3 3 2 2 3" xfId="184"/>
    <cellStyle name="20% - Accent1 2 2 3 3 2 3" xfId="185"/>
    <cellStyle name="20% - Accent1 2 2 3 3 2 3 2" xfId="186"/>
    <cellStyle name="20% - Accent1 2 2 3 3 2 4" xfId="187"/>
    <cellStyle name="20% - Accent1 2 2 3 3 3" xfId="188"/>
    <cellStyle name="20% - Accent1 2 2 3 3 3 2" xfId="189"/>
    <cellStyle name="20% - Accent1 2 2 3 3 3 2 2" xfId="190"/>
    <cellStyle name="20% - Accent1 2 2 3 3 3 3" xfId="191"/>
    <cellStyle name="20% - Accent1 2 2 3 3 4" xfId="192"/>
    <cellStyle name="20% - Accent1 2 2 3 3 4 2" xfId="193"/>
    <cellStyle name="20% - Accent1 2 2 3 3 5" xfId="194"/>
    <cellStyle name="20% - Accent1 2 2 3 4" xfId="195"/>
    <cellStyle name="20% - Accent1 2 2 3 4 2" xfId="196"/>
    <cellStyle name="20% - Accent1 2 2 3 4 2 2" xfId="197"/>
    <cellStyle name="20% - Accent1 2 2 3 4 2 2 2" xfId="198"/>
    <cellStyle name="20% - Accent1 2 2 3 4 2 3" xfId="199"/>
    <cellStyle name="20% - Accent1 2 2 3 4 3" xfId="200"/>
    <cellStyle name="20% - Accent1 2 2 3 4 3 2" xfId="201"/>
    <cellStyle name="20% - Accent1 2 2 3 4 4" xfId="202"/>
    <cellStyle name="20% - Accent1 2 2 3 5" xfId="203"/>
    <cellStyle name="20% - Accent1 2 2 3 5 2" xfId="204"/>
    <cellStyle name="20% - Accent1 2 2 3 5 2 2" xfId="205"/>
    <cellStyle name="20% - Accent1 2 2 3 5 3" xfId="206"/>
    <cellStyle name="20% - Accent1 2 2 3 6" xfId="207"/>
    <cellStyle name="20% - Accent1 2 2 3 6 2" xfId="208"/>
    <cellStyle name="20% - Accent1 2 2 3 7" xfId="209"/>
    <cellStyle name="20% - Accent1 2 2 4" xfId="210"/>
    <cellStyle name="20% - Accent1 2 2 4 2" xfId="211"/>
    <cellStyle name="20% - Accent1 2 2 4 2 2" xfId="212"/>
    <cellStyle name="20% - Accent1 2 2 4 2 2 2" xfId="213"/>
    <cellStyle name="20% - Accent1 2 2 4 2 2 2 2" xfId="214"/>
    <cellStyle name="20% - Accent1 2 2 4 2 2 2 2 2" xfId="215"/>
    <cellStyle name="20% - Accent1 2 2 4 2 2 2 3" xfId="216"/>
    <cellStyle name="20% - Accent1 2 2 4 2 2 3" xfId="217"/>
    <cellStyle name="20% - Accent1 2 2 4 2 2 3 2" xfId="218"/>
    <cellStyle name="20% - Accent1 2 2 4 2 2 4" xfId="219"/>
    <cellStyle name="20% - Accent1 2 2 4 2 3" xfId="220"/>
    <cellStyle name="20% - Accent1 2 2 4 2 3 2" xfId="221"/>
    <cellStyle name="20% - Accent1 2 2 4 2 3 2 2" xfId="222"/>
    <cellStyle name="20% - Accent1 2 2 4 2 3 3" xfId="223"/>
    <cellStyle name="20% - Accent1 2 2 4 2 4" xfId="224"/>
    <cellStyle name="20% - Accent1 2 2 4 2 4 2" xfId="225"/>
    <cellStyle name="20% - Accent1 2 2 4 2 5" xfId="226"/>
    <cellStyle name="20% - Accent1 2 2 4 3" xfId="227"/>
    <cellStyle name="20% - Accent1 2 2 4 3 2" xfId="228"/>
    <cellStyle name="20% - Accent1 2 2 4 3 2 2" xfId="229"/>
    <cellStyle name="20% - Accent1 2 2 4 3 2 2 2" xfId="230"/>
    <cellStyle name="20% - Accent1 2 2 4 3 2 3" xfId="231"/>
    <cellStyle name="20% - Accent1 2 2 4 3 3" xfId="232"/>
    <cellStyle name="20% - Accent1 2 2 4 3 3 2" xfId="233"/>
    <cellStyle name="20% - Accent1 2 2 4 3 4" xfId="234"/>
    <cellStyle name="20% - Accent1 2 2 4 4" xfId="235"/>
    <cellStyle name="20% - Accent1 2 2 4 4 2" xfId="236"/>
    <cellStyle name="20% - Accent1 2 2 4 4 2 2" xfId="237"/>
    <cellStyle name="20% - Accent1 2 2 4 4 3" xfId="238"/>
    <cellStyle name="20% - Accent1 2 2 4 5" xfId="239"/>
    <cellStyle name="20% - Accent1 2 2 4 5 2" xfId="240"/>
    <cellStyle name="20% - Accent1 2 2 4 6" xfId="241"/>
    <cellStyle name="20% - Accent1 2 2 5" xfId="242"/>
    <cellStyle name="20% - Accent1 2 2 5 2" xfId="243"/>
    <cellStyle name="20% - Accent1 2 2 5 2 2" xfId="244"/>
    <cellStyle name="20% - Accent1 2 2 5 2 2 2" xfId="245"/>
    <cellStyle name="20% - Accent1 2 2 5 2 2 2 2" xfId="246"/>
    <cellStyle name="20% - Accent1 2 2 5 2 2 3" xfId="247"/>
    <cellStyle name="20% - Accent1 2 2 5 2 3" xfId="248"/>
    <cellStyle name="20% - Accent1 2 2 5 2 3 2" xfId="249"/>
    <cellStyle name="20% - Accent1 2 2 5 2 4" xfId="250"/>
    <cellStyle name="20% - Accent1 2 2 5 3" xfId="251"/>
    <cellStyle name="20% - Accent1 2 2 5 3 2" xfId="252"/>
    <cellStyle name="20% - Accent1 2 2 5 3 2 2" xfId="253"/>
    <cellStyle name="20% - Accent1 2 2 5 3 3" xfId="254"/>
    <cellStyle name="20% - Accent1 2 2 5 4" xfId="255"/>
    <cellStyle name="20% - Accent1 2 2 5 4 2" xfId="256"/>
    <cellStyle name="20% - Accent1 2 2 5 5" xfId="257"/>
    <cellStyle name="20% - Accent1 2 2 6" xfId="258"/>
    <cellStyle name="20% - Accent1 2 2 6 2" xfId="259"/>
    <cellStyle name="20% - Accent1 2 2 6 2 2" xfId="260"/>
    <cellStyle name="20% - Accent1 2 2 6 2 2 2" xfId="261"/>
    <cellStyle name="20% - Accent1 2 2 6 2 3" xfId="262"/>
    <cellStyle name="20% - Accent1 2 2 6 3" xfId="263"/>
    <cellStyle name="20% - Accent1 2 2 6 3 2" xfId="264"/>
    <cellStyle name="20% - Accent1 2 2 6 4" xfId="265"/>
    <cellStyle name="20% - Accent1 2 2 7" xfId="266"/>
    <cellStyle name="20% - Accent1 2 2 7 2" xfId="267"/>
    <cellStyle name="20% - Accent1 2 2 7 2 2" xfId="268"/>
    <cellStyle name="20% - Accent1 2 2 7 3" xfId="269"/>
    <cellStyle name="20% - Accent1 2 2 8" xfId="270"/>
    <cellStyle name="20% - Accent1 2 2 8 2" xfId="271"/>
    <cellStyle name="20% - Accent1 2 2 9" xfId="272"/>
    <cellStyle name="20% - Accent1 2 3" xfId="273"/>
    <cellStyle name="20% - Accent1 2 3 2" xfId="274"/>
    <cellStyle name="20% - Accent1 2 3 2 2" xfId="275"/>
    <cellStyle name="20% - Accent1 2 3 2 2 2" xfId="276"/>
    <cellStyle name="20% - Accent1 2 3 2 2 2 2" xfId="277"/>
    <cellStyle name="20% - Accent1 2 3 2 2 2 2 2" xfId="278"/>
    <cellStyle name="20% - Accent1 2 3 2 2 2 2 2 2" xfId="279"/>
    <cellStyle name="20% - Accent1 2 3 2 2 2 2 2 2 2" xfId="280"/>
    <cellStyle name="20% - Accent1 2 3 2 2 2 2 2 3" xfId="281"/>
    <cellStyle name="20% - Accent1 2 3 2 2 2 2 3" xfId="282"/>
    <cellStyle name="20% - Accent1 2 3 2 2 2 2 3 2" xfId="283"/>
    <cellStyle name="20% - Accent1 2 3 2 2 2 2 4" xfId="284"/>
    <cellStyle name="20% - Accent1 2 3 2 2 2 3" xfId="285"/>
    <cellStyle name="20% - Accent1 2 3 2 2 2 3 2" xfId="286"/>
    <cellStyle name="20% - Accent1 2 3 2 2 2 3 2 2" xfId="287"/>
    <cellStyle name="20% - Accent1 2 3 2 2 2 3 3" xfId="288"/>
    <cellStyle name="20% - Accent1 2 3 2 2 2 4" xfId="289"/>
    <cellStyle name="20% - Accent1 2 3 2 2 2 4 2" xfId="290"/>
    <cellStyle name="20% - Accent1 2 3 2 2 2 5" xfId="291"/>
    <cellStyle name="20% - Accent1 2 3 2 2 3" xfId="292"/>
    <cellStyle name="20% - Accent1 2 3 2 2 3 2" xfId="293"/>
    <cellStyle name="20% - Accent1 2 3 2 2 3 2 2" xfId="294"/>
    <cellStyle name="20% - Accent1 2 3 2 2 3 2 2 2" xfId="295"/>
    <cellStyle name="20% - Accent1 2 3 2 2 3 2 3" xfId="296"/>
    <cellStyle name="20% - Accent1 2 3 2 2 3 3" xfId="297"/>
    <cellStyle name="20% - Accent1 2 3 2 2 3 3 2" xfId="298"/>
    <cellStyle name="20% - Accent1 2 3 2 2 3 4" xfId="299"/>
    <cellStyle name="20% - Accent1 2 3 2 2 4" xfId="300"/>
    <cellStyle name="20% - Accent1 2 3 2 2 4 2" xfId="301"/>
    <cellStyle name="20% - Accent1 2 3 2 2 4 2 2" xfId="302"/>
    <cellStyle name="20% - Accent1 2 3 2 2 4 3" xfId="303"/>
    <cellStyle name="20% - Accent1 2 3 2 2 5" xfId="304"/>
    <cellStyle name="20% - Accent1 2 3 2 2 5 2" xfId="305"/>
    <cellStyle name="20% - Accent1 2 3 2 2 6" xfId="306"/>
    <cellStyle name="20% - Accent1 2 3 2 3" xfId="307"/>
    <cellStyle name="20% - Accent1 2 3 2 3 2" xfId="308"/>
    <cellStyle name="20% - Accent1 2 3 2 3 2 2" xfId="309"/>
    <cellStyle name="20% - Accent1 2 3 2 3 2 2 2" xfId="310"/>
    <cellStyle name="20% - Accent1 2 3 2 3 2 2 2 2" xfId="311"/>
    <cellStyle name="20% - Accent1 2 3 2 3 2 2 3" xfId="312"/>
    <cellStyle name="20% - Accent1 2 3 2 3 2 3" xfId="313"/>
    <cellStyle name="20% - Accent1 2 3 2 3 2 3 2" xfId="314"/>
    <cellStyle name="20% - Accent1 2 3 2 3 2 4" xfId="315"/>
    <cellStyle name="20% - Accent1 2 3 2 3 3" xfId="316"/>
    <cellStyle name="20% - Accent1 2 3 2 3 3 2" xfId="317"/>
    <cellStyle name="20% - Accent1 2 3 2 3 3 2 2" xfId="318"/>
    <cellStyle name="20% - Accent1 2 3 2 3 3 3" xfId="319"/>
    <cellStyle name="20% - Accent1 2 3 2 3 4" xfId="320"/>
    <cellStyle name="20% - Accent1 2 3 2 3 4 2" xfId="321"/>
    <cellStyle name="20% - Accent1 2 3 2 3 5" xfId="322"/>
    <cellStyle name="20% - Accent1 2 3 2 4" xfId="323"/>
    <cellStyle name="20% - Accent1 2 3 2 4 2" xfId="324"/>
    <cellStyle name="20% - Accent1 2 3 2 4 2 2" xfId="325"/>
    <cellStyle name="20% - Accent1 2 3 2 4 2 2 2" xfId="326"/>
    <cellStyle name="20% - Accent1 2 3 2 4 2 3" xfId="327"/>
    <cellStyle name="20% - Accent1 2 3 2 4 3" xfId="328"/>
    <cellStyle name="20% - Accent1 2 3 2 4 3 2" xfId="329"/>
    <cellStyle name="20% - Accent1 2 3 2 4 4" xfId="330"/>
    <cellStyle name="20% - Accent1 2 3 2 5" xfId="331"/>
    <cellStyle name="20% - Accent1 2 3 2 5 2" xfId="332"/>
    <cellStyle name="20% - Accent1 2 3 2 5 2 2" xfId="333"/>
    <cellStyle name="20% - Accent1 2 3 2 5 3" xfId="334"/>
    <cellStyle name="20% - Accent1 2 3 2 6" xfId="335"/>
    <cellStyle name="20% - Accent1 2 3 2 6 2" xfId="336"/>
    <cellStyle name="20% - Accent1 2 3 2 7" xfId="337"/>
    <cellStyle name="20% - Accent1 2 3 3" xfId="338"/>
    <cellStyle name="20% - Accent1 2 3 3 2" xfId="339"/>
    <cellStyle name="20% - Accent1 2 3 3 2 2" xfId="340"/>
    <cellStyle name="20% - Accent1 2 3 3 2 2 2" xfId="341"/>
    <cellStyle name="20% - Accent1 2 3 3 2 2 2 2" xfId="342"/>
    <cellStyle name="20% - Accent1 2 3 3 2 2 2 2 2" xfId="343"/>
    <cellStyle name="20% - Accent1 2 3 3 2 2 2 3" xfId="344"/>
    <cellStyle name="20% - Accent1 2 3 3 2 2 3" xfId="345"/>
    <cellStyle name="20% - Accent1 2 3 3 2 2 3 2" xfId="346"/>
    <cellStyle name="20% - Accent1 2 3 3 2 2 4" xfId="347"/>
    <cellStyle name="20% - Accent1 2 3 3 2 3" xfId="348"/>
    <cellStyle name="20% - Accent1 2 3 3 2 3 2" xfId="349"/>
    <cellStyle name="20% - Accent1 2 3 3 2 3 2 2" xfId="350"/>
    <cellStyle name="20% - Accent1 2 3 3 2 3 3" xfId="351"/>
    <cellStyle name="20% - Accent1 2 3 3 2 4" xfId="352"/>
    <cellStyle name="20% - Accent1 2 3 3 2 4 2" xfId="353"/>
    <cellStyle name="20% - Accent1 2 3 3 2 5" xfId="354"/>
    <cellStyle name="20% - Accent1 2 3 3 3" xfId="355"/>
    <cellStyle name="20% - Accent1 2 3 3 3 2" xfId="356"/>
    <cellStyle name="20% - Accent1 2 3 3 3 2 2" xfId="357"/>
    <cellStyle name="20% - Accent1 2 3 3 3 2 2 2" xfId="358"/>
    <cellStyle name="20% - Accent1 2 3 3 3 2 3" xfId="359"/>
    <cellStyle name="20% - Accent1 2 3 3 3 3" xfId="360"/>
    <cellStyle name="20% - Accent1 2 3 3 3 3 2" xfId="361"/>
    <cellStyle name="20% - Accent1 2 3 3 3 4" xfId="362"/>
    <cellStyle name="20% - Accent1 2 3 3 4" xfId="363"/>
    <cellStyle name="20% - Accent1 2 3 3 4 2" xfId="364"/>
    <cellStyle name="20% - Accent1 2 3 3 4 2 2" xfId="365"/>
    <cellStyle name="20% - Accent1 2 3 3 4 3" xfId="366"/>
    <cellStyle name="20% - Accent1 2 3 3 5" xfId="367"/>
    <cellStyle name="20% - Accent1 2 3 3 5 2" xfId="368"/>
    <cellStyle name="20% - Accent1 2 3 3 6" xfId="369"/>
    <cellStyle name="20% - Accent1 2 3 4" xfId="370"/>
    <cellStyle name="20% - Accent1 2 3 4 2" xfId="371"/>
    <cellStyle name="20% - Accent1 2 3 4 2 2" xfId="372"/>
    <cellStyle name="20% - Accent1 2 3 4 2 2 2" xfId="373"/>
    <cellStyle name="20% - Accent1 2 3 4 2 2 2 2" xfId="374"/>
    <cellStyle name="20% - Accent1 2 3 4 2 2 3" xfId="375"/>
    <cellStyle name="20% - Accent1 2 3 4 2 3" xfId="376"/>
    <cellStyle name="20% - Accent1 2 3 4 2 3 2" xfId="377"/>
    <cellStyle name="20% - Accent1 2 3 4 2 4" xfId="378"/>
    <cellStyle name="20% - Accent1 2 3 4 3" xfId="379"/>
    <cellStyle name="20% - Accent1 2 3 4 3 2" xfId="380"/>
    <cellStyle name="20% - Accent1 2 3 4 3 2 2" xfId="381"/>
    <cellStyle name="20% - Accent1 2 3 4 3 3" xfId="382"/>
    <cellStyle name="20% - Accent1 2 3 4 4" xfId="383"/>
    <cellStyle name="20% - Accent1 2 3 4 4 2" xfId="384"/>
    <cellStyle name="20% - Accent1 2 3 4 5" xfId="385"/>
    <cellStyle name="20% - Accent1 2 3 5" xfId="386"/>
    <cellStyle name="20% - Accent1 2 3 5 2" xfId="387"/>
    <cellStyle name="20% - Accent1 2 3 5 2 2" xfId="388"/>
    <cellStyle name="20% - Accent1 2 3 5 2 2 2" xfId="389"/>
    <cellStyle name="20% - Accent1 2 3 5 2 3" xfId="390"/>
    <cellStyle name="20% - Accent1 2 3 5 3" xfId="391"/>
    <cellStyle name="20% - Accent1 2 3 5 3 2" xfId="392"/>
    <cellStyle name="20% - Accent1 2 3 5 4" xfId="393"/>
    <cellStyle name="20% - Accent1 2 3 6" xfId="394"/>
    <cellStyle name="20% - Accent1 2 3 6 2" xfId="395"/>
    <cellStyle name="20% - Accent1 2 3 6 2 2" xfId="396"/>
    <cellStyle name="20% - Accent1 2 3 6 3" xfId="397"/>
    <cellStyle name="20% - Accent1 2 3 7" xfId="398"/>
    <cellStyle name="20% - Accent1 2 3 7 2" xfId="399"/>
    <cellStyle name="20% - Accent1 2 3 8" xfId="400"/>
    <cellStyle name="20% - Accent1 2 4" xfId="401"/>
    <cellStyle name="20% - Accent1 2 4 2" xfId="402"/>
    <cellStyle name="20% - Accent1 2 4 2 2" xfId="403"/>
    <cellStyle name="20% - Accent1 2 4 2 2 2" xfId="404"/>
    <cellStyle name="20% - Accent1 2 4 2 2 2 2" xfId="405"/>
    <cellStyle name="20% - Accent1 2 4 2 2 2 2 2" xfId="406"/>
    <cellStyle name="20% - Accent1 2 4 2 2 2 2 2 2" xfId="407"/>
    <cellStyle name="20% - Accent1 2 4 2 2 2 2 3" xfId="408"/>
    <cellStyle name="20% - Accent1 2 4 2 2 2 3" xfId="409"/>
    <cellStyle name="20% - Accent1 2 4 2 2 2 3 2" xfId="410"/>
    <cellStyle name="20% - Accent1 2 4 2 2 2 4" xfId="411"/>
    <cellStyle name="20% - Accent1 2 4 2 2 3" xfId="412"/>
    <cellStyle name="20% - Accent1 2 4 2 2 3 2" xfId="413"/>
    <cellStyle name="20% - Accent1 2 4 2 2 3 2 2" xfId="414"/>
    <cellStyle name="20% - Accent1 2 4 2 2 3 3" xfId="415"/>
    <cellStyle name="20% - Accent1 2 4 2 2 4" xfId="416"/>
    <cellStyle name="20% - Accent1 2 4 2 2 4 2" xfId="417"/>
    <cellStyle name="20% - Accent1 2 4 2 2 5" xfId="418"/>
    <cellStyle name="20% - Accent1 2 4 2 3" xfId="419"/>
    <cellStyle name="20% - Accent1 2 4 2 3 2" xfId="420"/>
    <cellStyle name="20% - Accent1 2 4 2 3 2 2" xfId="421"/>
    <cellStyle name="20% - Accent1 2 4 2 3 2 2 2" xfId="422"/>
    <cellStyle name="20% - Accent1 2 4 2 3 2 3" xfId="423"/>
    <cellStyle name="20% - Accent1 2 4 2 3 3" xfId="424"/>
    <cellStyle name="20% - Accent1 2 4 2 3 3 2" xfId="425"/>
    <cellStyle name="20% - Accent1 2 4 2 3 4" xfId="426"/>
    <cellStyle name="20% - Accent1 2 4 2 4" xfId="427"/>
    <cellStyle name="20% - Accent1 2 4 2 4 2" xfId="428"/>
    <cellStyle name="20% - Accent1 2 4 2 4 2 2" xfId="429"/>
    <cellStyle name="20% - Accent1 2 4 2 4 3" xfId="430"/>
    <cellStyle name="20% - Accent1 2 4 2 5" xfId="431"/>
    <cellStyle name="20% - Accent1 2 4 2 5 2" xfId="432"/>
    <cellStyle name="20% - Accent1 2 4 2 6" xfId="433"/>
    <cellStyle name="20% - Accent1 2 4 3" xfId="434"/>
    <cellStyle name="20% - Accent1 2 4 3 2" xfId="435"/>
    <cellStyle name="20% - Accent1 2 4 3 2 2" xfId="436"/>
    <cellStyle name="20% - Accent1 2 4 3 2 2 2" xfId="437"/>
    <cellStyle name="20% - Accent1 2 4 3 2 2 2 2" xfId="438"/>
    <cellStyle name="20% - Accent1 2 4 3 2 2 3" xfId="439"/>
    <cellStyle name="20% - Accent1 2 4 3 2 3" xfId="440"/>
    <cellStyle name="20% - Accent1 2 4 3 2 3 2" xfId="441"/>
    <cellStyle name="20% - Accent1 2 4 3 2 4" xfId="442"/>
    <cellStyle name="20% - Accent1 2 4 3 3" xfId="443"/>
    <cellStyle name="20% - Accent1 2 4 3 3 2" xfId="444"/>
    <cellStyle name="20% - Accent1 2 4 3 3 2 2" xfId="445"/>
    <cellStyle name="20% - Accent1 2 4 3 3 3" xfId="446"/>
    <cellStyle name="20% - Accent1 2 4 3 4" xfId="447"/>
    <cellStyle name="20% - Accent1 2 4 3 4 2" xfId="448"/>
    <cellStyle name="20% - Accent1 2 4 3 5" xfId="449"/>
    <cellStyle name="20% - Accent1 2 4 4" xfId="450"/>
    <cellStyle name="20% - Accent1 2 4 4 2" xfId="451"/>
    <cellStyle name="20% - Accent1 2 4 4 2 2" xfId="452"/>
    <cellStyle name="20% - Accent1 2 4 4 2 2 2" xfId="453"/>
    <cellStyle name="20% - Accent1 2 4 4 2 3" xfId="454"/>
    <cellStyle name="20% - Accent1 2 4 4 3" xfId="455"/>
    <cellStyle name="20% - Accent1 2 4 4 3 2" xfId="456"/>
    <cellStyle name="20% - Accent1 2 4 4 4" xfId="457"/>
    <cellStyle name="20% - Accent1 2 4 5" xfId="458"/>
    <cellStyle name="20% - Accent1 2 4 5 2" xfId="459"/>
    <cellStyle name="20% - Accent1 2 4 5 2 2" xfId="460"/>
    <cellStyle name="20% - Accent1 2 4 5 3" xfId="461"/>
    <cellStyle name="20% - Accent1 2 4 6" xfId="462"/>
    <cellStyle name="20% - Accent1 2 4 6 2" xfId="463"/>
    <cellStyle name="20% - Accent1 2 4 7" xfId="464"/>
    <cellStyle name="20% - Accent1 2 5" xfId="465"/>
    <cellStyle name="20% - Accent1 2 5 2" xfId="466"/>
    <cellStyle name="20% - Accent1 2 5 2 2" xfId="467"/>
    <cellStyle name="20% - Accent1 2 5 2 2 2" xfId="468"/>
    <cellStyle name="20% - Accent1 2 5 2 2 2 2" xfId="469"/>
    <cellStyle name="20% - Accent1 2 5 2 2 2 2 2" xfId="470"/>
    <cellStyle name="20% - Accent1 2 5 2 2 2 3" xfId="471"/>
    <cellStyle name="20% - Accent1 2 5 2 2 3" xfId="472"/>
    <cellStyle name="20% - Accent1 2 5 2 2 3 2" xfId="473"/>
    <cellStyle name="20% - Accent1 2 5 2 2 4" xfId="474"/>
    <cellStyle name="20% - Accent1 2 5 2 3" xfId="475"/>
    <cellStyle name="20% - Accent1 2 5 2 3 2" xfId="476"/>
    <cellStyle name="20% - Accent1 2 5 2 3 2 2" xfId="477"/>
    <cellStyle name="20% - Accent1 2 5 2 3 3" xfId="478"/>
    <cellStyle name="20% - Accent1 2 5 2 4" xfId="479"/>
    <cellStyle name="20% - Accent1 2 5 2 4 2" xfId="480"/>
    <cellStyle name="20% - Accent1 2 5 2 5" xfId="481"/>
    <cellStyle name="20% - Accent1 2 5 3" xfId="482"/>
    <cellStyle name="20% - Accent1 2 5 3 2" xfId="483"/>
    <cellStyle name="20% - Accent1 2 5 3 2 2" xfId="484"/>
    <cellStyle name="20% - Accent1 2 5 3 2 2 2" xfId="485"/>
    <cellStyle name="20% - Accent1 2 5 3 2 3" xfId="486"/>
    <cellStyle name="20% - Accent1 2 5 3 3" xfId="487"/>
    <cellStyle name="20% - Accent1 2 5 3 3 2" xfId="488"/>
    <cellStyle name="20% - Accent1 2 5 3 4" xfId="489"/>
    <cellStyle name="20% - Accent1 2 5 4" xfId="490"/>
    <cellStyle name="20% - Accent1 2 5 4 2" xfId="491"/>
    <cellStyle name="20% - Accent1 2 5 4 2 2" xfId="492"/>
    <cellStyle name="20% - Accent1 2 5 4 3" xfId="493"/>
    <cellStyle name="20% - Accent1 2 5 5" xfId="494"/>
    <cellStyle name="20% - Accent1 2 5 5 2" xfId="495"/>
    <cellStyle name="20% - Accent1 2 5 6" xfId="496"/>
    <cellStyle name="20% - Accent1 2 6" xfId="497"/>
    <cellStyle name="20% - Accent1 2 6 2" xfId="498"/>
    <cellStyle name="20% - Accent1 2 6 2 2" xfId="499"/>
    <cellStyle name="20% - Accent1 2 6 2 2 2" xfId="500"/>
    <cellStyle name="20% - Accent1 2 6 2 2 2 2" xfId="501"/>
    <cellStyle name="20% - Accent1 2 6 2 2 3" xfId="502"/>
    <cellStyle name="20% - Accent1 2 6 2 3" xfId="503"/>
    <cellStyle name="20% - Accent1 2 6 2 3 2" xfId="504"/>
    <cellStyle name="20% - Accent1 2 6 2 4" xfId="505"/>
    <cellStyle name="20% - Accent1 2 6 3" xfId="506"/>
    <cellStyle name="20% - Accent1 2 6 3 2" xfId="507"/>
    <cellStyle name="20% - Accent1 2 6 3 2 2" xfId="508"/>
    <cellStyle name="20% - Accent1 2 6 3 3" xfId="509"/>
    <cellStyle name="20% - Accent1 2 6 4" xfId="510"/>
    <cellStyle name="20% - Accent1 2 6 4 2" xfId="511"/>
    <cellStyle name="20% - Accent1 2 6 5" xfId="512"/>
    <cellStyle name="20% - Accent1 2 7" xfId="513"/>
    <cellStyle name="20% - Accent1 2 7 2" xfId="514"/>
    <cellStyle name="20% - Accent1 2 7 2 2" xfId="515"/>
    <cellStyle name="20% - Accent1 2 7 2 2 2" xfId="516"/>
    <cellStyle name="20% - Accent1 2 7 2 3" xfId="517"/>
    <cellStyle name="20% - Accent1 2 7 3" xfId="518"/>
    <cellStyle name="20% - Accent1 2 7 3 2" xfId="519"/>
    <cellStyle name="20% - Accent1 2 7 4" xfId="520"/>
    <cellStyle name="20% - Accent1 2 8" xfId="521"/>
    <cellStyle name="20% - Accent1 2 8 2" xfId="522"/>
    <cellStyle name="20% - Accent1 2 8 2 2" xfId="523"/>
    <cellStyle name="20% - Accent1 2 8 3" xfId="524"/>
    <cellStyle name="20% - Accent1 2 9" xfId="525"/>
    <cellStyle name="20% - Accent1 2 9 2" xfId="526"/>
    <cellStyle name="20% - Accent1 3" xfId="527"/>
    <cellStyle name="20% - Accent1 3 2" xfId="528"/>
    <cellStyle name="20% - Accent1 3 2 2" xfId="529"/>
    <cellStyle name="20% - Accent1 3 2 2 2" xfId="530"/>
    <cellStyle name="20% - Accent1 3 2 2 2 2" xfId="531"/>
    <cellStyle name="20% - Accent1 3 2 2 2 2 2" xfId="532"/>
    <cellStyle name="20% - Accent1 3 2 2 2 2 2 2" xfId="533"/>
    <cellStyle name="20% - Accent1 3 2 2 2 2 2 2 2" xfId="534"/>
    <cellStyle name="20% - Accent1 3 2 2 2 2 2 2 2 2" xfId="535"/>
    <cellStyle name="20% - Accent1 3 2 2 2 2 2 2 3" xfId="536"/>
    <cellStyle name="20% - Accent1 3 2 2 2 2 2 3" xfId="537"/>
    <cellStyle name="20% - Accent1 3 2 2 2 2 2 3 2" xfId="538"/>
    <cellStyle name="20% - Accent1 3 2 2 2 2 2 4" xfId="539"/>
    <cellStyle name="20% - Accent1 3 2 2 2 2 3" xfId="540"/>
    <cellStyle name="20% - Accent1 3 2 2 2 2 3 2" xfId="541"/>
    <cellStyle name="20% - Accent1 3 2 2 2 2 3 2 2" xfId="542"/>
    <cellStyle name="20% - Accent1 3 2 2 2 2 3 3" xfId="543"/>
    <cellStyle name="20% - Accent1 3 2 2 2 2 4" xfId="544"/>
    <cellStyle name="20% - Accent1 3 2 2 2 2 4 2" xfId="545"/>
    <cellStyle name="20% - Accent1 3 2 2 2 2 5" xfId="546"/>
    <cellStyle name="20% - Accent1 3 2 2 2 3" xfId="547"/>
    <cellStyle name="20% - Accent1 3 2 2 2 3 2" xfId="548"/>
    <cellStyle name="20% - Accent1 3 2 2 2 3 2 2" xfId="549"/>
    <cellStyle name="20% - Accent1 3 2 2 2 3 2 2 2" xfId="550"/>
    <cellStyle name="20% - Accent1 3 2 2 2 3 2 3" xfId="551"/>
    <cellStyle name="20% - Accent1 3 2 2 2 3 3" xfId="552"/>
    <cellStyle name="20% - Accent1 3 2 2 2 3 3 2" xfId="553"/>
    <cellStyle name="20% - Accent1 3 2 2 2 3 4" xfId="554"/>
    <cellStyle name="20% - Accent1 3 2 2 2 4" xfId="555"/>
    <cellStyle name="20% - Accent1 3 2 2 2 4 2" xfId="556"/>
    <cellStyle name="20% - Accent1 3 2 2 2 4 2 2" xfId="557"/>
    <cellStyle name="20% - Accent1 3 2 2 2 4 3" xfId="558"/>
    <cellStyle name="20% - Accent1 3 2 2 2 5" xfId="559"/>
    <cellStyle name="20% - Accent1 3 2 2 2 5 2" xfId="560"/>
    <cellStyle name="20% - Accent1 3 2 2 2 6" xfId="561"/>
    <cellStyle name="20% - Accent1 3 2 2 3" xfId="562"/>
    <cellStyle name="20% - Accent1 3 2 2 3 2" xfId="563"/>
    <cellStyle name="20% - Accent1 3 2 2 3 2 2" xfId="564"/>
    <cellStyle name="20% - Accent1 3 2 2 3 2 2 2" xfId="565"/>
    <cellStyle name="20% - Accent1 3 2 2 3 2 2 2 2" xfId="566"/>
    <cellStyle name="20% - Accent1 3 2 2 3 2 2 3" xfId="567"/>
    <cellStyle name="20% - Accent1 3 2 2 3 2 3" xfId="568"/>
    <cellStyle name="20% - Accent1 3 2 2 3 2 3 2" xfId="569"/>
    <cellStyle name="20% - Accent1 3 2 2 3 2 4" xfId="570"/>
    <cellStyle name="20% - Accent1 3 2 2 3 3" xfId="571"/>
    <cellStyle name="20% - Accent1 3 2 2 3 3 2" xfId="572"/>
    <cellStyle name="20% - Accent1 3 2 2 3 3 2 2" xfId="573"/>
    <cellStyle name="20% - Accent1 3 2 2 3 3 3" xfId="574"/>
    <cellStyle name="20% - Accent1 3 2 2 3 4" xfId="575"/>
    <cellStyle name="20% - Accent1 3 2 2 3 4 2" xfId="576"/>
    <cellStyle name="20% - Accent1 3 2 2 3 5" xfId="577"/>
    <cellStyle name="20% - Accent1 3 2 2 4" xfId="578"/>
    <cellStyle name="20% - Accent1 3 2 2 4 2" xfId="579"/>
    <cellStyle name="20% - Accent1 3 2 2 4 2 2" xfId="580"/>
    <cellStyle name="20% - Accent1 3 2 2 4 2 2 2" xfId="581"/>
    <cellStyle name="20% - Accent1 3 2 2 4 2 3" xfId="582"/>
    <cellStyle name="20% - Accent1 3 2 2 4 3" xfId="583"/>
    <cellStyle name="20% - Accent1 3 2 2 4 3 2" xfId="584"/>
    <cellStyle name="20% - Accent1 3 2 2 4 4" xfId="585"/>
    <cellStyle name="20% - Accent1 3 2 2 5" xfId="586"/>
    <cellStyle name="20% - Accent1 3 2 2 5 2" xfId="587"/>
    <cellStyle name="20% - Accent1 3 2 2 5 2 2" xfId="588"/>
    <cellStyle name="20% - Accent1 3 2 2 5 3" xfId="589"/>
    <cellStyle name="20% - Accent1 3 2 2 6" xfId="590"/>
    <cellStyle name="20% - Accent1 3 2 2 6 2" xfId="591"/>
    <cellStyle name="20% - Accent1 3 2 2 7" xfId="592"/>
    <cellStyle name="20% - Accent1 3 2 3" xfId="593"/>
    <cellStyle name="20% - Accent1 3 2 3 2" xfId="594"/>
    <cellStyle name="20% - Accent1 3 2 3 2 2" xfId="595"/>
    <cellStyle name="20% - Accent1 3 2 3 2 2 2" xfId="596"/>
    <cellStyle name="20% - Accent1 3 2 3 2 2 2 2" xfId="597"/>
    <cellStyle name="20% - Accent1 3 2 3 2 2 2 2 2" xfId="598"/>
    <cellStyle name="20% - Accent1 3 2 3 2 2 2 3" xfId="599"/>
    <cellStyle name="20% - Accent1 3 2 3 2 2 3" xfId="600"/>
    <cellStyle name="20% - Accent1 3 2 3 2 2 3 2" xfId="601"/>
    <cellStyle name="20% - Accent1 3 2 3 2 2 4" xfId="602"/>
    <cellStyle name="20% - Accent1 3 2 3 2 3" xfId="603"/>
    <cellStyle name="20% - Accent1 3 2 3 2 3 2" xfId="604"/>
    <cellStyle name="20% - Accent1 3 2 3 2 3 2 2" xfId="605"/>
    <cellStyle name="20% - Accent1 3 2 3 2 3 3" xfId="606"/>
    <cellStyle name="20% - Accent1 3 2 3 2 4" xfId="607"/>
    <cellStyle name="20% - Accent1 3 2 3 2 4 2" xfId="608"/>
    <cellStyle name="20% - Accent1 3 2 3 2 5" xfId="609"/>
    <cellStyle name="20% - Accent1 3 2 3 3" xfId="610"/>
    <cellStyle name="20% - Accent1 3 2 3 3 2" xfId="611"/>
    <cellStyle name="20% - Accent1 3 2 3 3 2 2" xfId="612"/>
    <cellStyle name="20% - Accent1 3 2 3 3 2 2 2" xfId="613"/>
    <cellStyle name="20% - Accent1 3 2 3 3 2 3" xfId="614"/>
    <cellStyle name="20% - Accent1 3 2 3 3 3" xfId="615"/>
    <cellStyle name="20% - Accent1 3 2 3 3 3 2" xfId="616"/>
    <cellStyle name="20% - Accent1 3 2 3 3 4" xfId="617"/>
    <cellStyle name="20% - Accent1 3 2 3 4" xfId="618"/>
    <cellStyle name="20% - Accent1 3 2 3 4 2" xfId="619"/>
    <cellStyle name="20% - Accent1 3 2 3 4 2 2" xfId="620"/>
    <cellStyle name="20% - Accent1 3 2 3 4 3" xfId="621"/>
    <cellStyle name="20% - Accent1 3 2 3 5" xfId="622"/>
    <cellStyle name="20% - Accent1 3 2 3 5 2" xfId="623"/>
    <cellStyle name="20% - Accent1 3 2 3 6" xfId="624"/>
    <cellStyle name="20% - Accent1 3 2 4" xfId="625"/>
    <cellStyle name="20% - Accent1 3 2 4 2" xfId="626"/>
    <cellStyle name="20% - Accent1 3 2 4 2 2" xfId="627"/>
    <cellStyle name="20% - Accent1 3 2 4 2 2 2" xfId="628"/>
    <cellStyle name="20% - Accent1 3 2 4 2 2 2 2" xfId="629"/>
    <cellStyle name="20% - Accent1 3 2 4 2 2 3" xfId="630"/>
    <cellStyle name="20% - Accent1 3 2 4 2 3" xfId="631"/>
    <cellStyle name="20% - Accent1 3 2 4 2 3 2" xfId="632"/>
    <cellStyle name="20% - Accent1 3 2 4 2 4" xfId="633"/>
    <cellStyle name="20% - Accent1 3 2 4 3" xfId="634"/>
    <cellStyle name="20% - Accent1 3 2 4 3 2" xfId="635"/>
    <cellStyle name="20% - Accent1 3 2 4 3 2 2" xfId="636"/>
    <cellStyle name="20% - Accent1 3 2 4 3 3" xfId="637"/>
    <cellStyle name="20% - Accent1 3 2 4 4" xfId="638"/>
    <cellStyle name="20% - Accent1 3 2 4 4 2" xfId="639"/>
    <cellStyle name="20% - Accent1 3 2 4 5" xfId="640"/>
    <cellStyle name="20% - Accent1 3 2 5" xfId="641"/>
    <cellStyle name="20% - Accent1 3 2 5 2" xfId="642"/>
    <cellStyle name="20% - Accent1 3 2 5 2 2" xfId="643"/>
    <cellStyle name="20% - Accent1 3 2 5 2 2 2" xfId="644"/>
    <cellStyle name="20% - Accent1 3 2 5 2 3" xfId="645"/>
    <cellStyle name="20% - Accent1 3 2 5 3" xfId="646"/>
    <cellStyle name="20% - Accent1 3 2 5 3 2" xfId="647"/>
    <cellStyle name="20% - Accent1 3 2 5 4" xfId="648"/>
    <cellStyle name="20% - Accent1 3 2 6" xfId="649"/>
    <cellStyle name="20% - Accent1 3 2 6 2" xfId="650"/>
    <cellStyle name="20% - Accent1 3 2 6 2 2" xfId="651"/>
    <cellStyle name="20% - Accent1 3 2 6 3" xfId="652"/>
    <cellStyle name="20% - Accent1 3 2 7" xfId="653"/>
    <cellStyle name="20% - Accent1 3 2 7 2" xfId="654"/>
    <cellStyle name="20% - Accent1 3 2 8" xfId="655"/>
    <cellStyle name="20% - Accent1 3 3" xfId="656"/>
    <cellStyle name="20% - Accent1 3 3 2" xfId="657"/>
    <cellStyle name="20% - Accent1 3 3 2 2" xfId="658"/>
    <cellStyle name="20% - Accent1 3 3 2 2 2" xfId="659"/>
    <cellStyle name="20% - Accent1 3 3 2 2 2 2" xfId="660"/>
    <cellStyle name="20% - Accent1 3 3 2 2 2 2 2" xfId="661"/>
    <cellStyle name="20% - Accent1 3 3 2 2 2 2 2 2" xfId="662"/>
    <cellStyle name="20% - Accent1 3 3 2 2 2 2 3" xfId="663"/>
    <cellStyle name="20% - Accent1 3 3 2 2 2 3" xfId="664"/>
    <cellStyle name="20% - Accent1 3 3 2 2 2 3 2" xfId="665"/>
    <cellStyle name="20% - Accent1 3 3 2 2 2 4" xfId="666"/>
    <cellStyle name="20% - Accent1 3 3 2 2 3" xfId="667"/>
    <cellStyle name="20% - Accent1 3 3 2 2 3 2" xfId="668"/>
    <cellStyle name="20% - Accent1 3 3 2 2 3 2 2" xfId="669"/>
    <cellStyle name="20% - Accent1 3 3 2 2 3 3" xfId="670"/>
    <cellStyle name="20% - Accent1 3 3 2 2 4" xfId="671"/>
    <cellStyle name="20% - Accent1 3 3 2 2 4 2" xfId="672"/>
    <cellStyle name="20% - Accent1 3 3 2 2 5" xfId="673"/>
    <cellStyle name="20% - Accent1 3 3 2 3" xfId="674"/>
    <cellStyle name="20% - Accent1 3 3 2 3 2" xfId="675"/>
    <cellStyle name="20% - Accent1 3 3 2 3 2 2" xfId="676"/>
    <cellStyle name="20% - Accent1 3 3 2 3 2 2 2" xfId="677"/>
    <cellStyle name="20% - Accent1 3 3 2 3 2 3" xfId="678"/>
    <cellStyle name="20% - Accent1 3 3 2 3 3" xfId="679"/>
    <cellStyle name="20% - Accent1 3 3 2 3 3 2" xfId="680"/>
    <cellStyle name="20% - Accent1 3 3 2 3 4" xfId="681"/>
    <cellStyle name="20% - Accent1 3 3 2 4" xfId="682"/>
    <cellStyle name="20% - Accent1 3 3 2 4 2" xfId="683"/>
    <cellStyle name="20% - Accent1 3 3 2 4 2 2" xfId="684"/>
    <cellStyle name="20% - Accent1 3 3 2 4 3" xfId="685"/>
    <cellStyle name="20% - Accent1 3 3 2 5" xfId="686"/>
    <cellStyle name="20% - Accent1 3 3 2 5 2" xfId="687"/>
    <cellStyle name="20% - Accent1 3 3 2 6" xfId="688"/>
    <cellStyle name="20% - Accent1 3 3 3" xfId="689"/>
    <cellStyle name="20% - Accent1 3 3 3 2" xfId="690"/>
    <cellStyle name="20% - Accent1 3 3 3 2 2" xfId="691"/>
    <cellStyle name="20% - Accent1 3 3 3 2 2 2" xfId="692"/>
    <cellStyle name="20% - Accent1 3 3 3 2 2 2 2" xfId="693"/>
    <cellStyle name="20% - Accent1 3 3 3 2 2 3" xfId="694"/>
    <cellStyle name="20% - Accent1 3 3 3 2 3" xfId="695"/>
    <cellStyle name="20% - Accent1 3 3 3 2 3 2" xfId="696"/>
    <cellStyle name="20% - Accent1 3 3 3 2 4" xfId="697"/>
    <cellStyle name="20% - Accent1 3 3 3 3" xfId="698"/>
    <cellStyle name="20% - Accent1 3 3 3 3 2" xfId="699"/>
    <cellStyle name="20% - Accent1 3 3 3 3 2 2" xfId="700"/>
    <cellStyle name="20% - Accent1 3 3 3 3 3" xfId="701"/>
    <cellStyle name="20% - Accent1 3 3 3 4" xfId="702"/>
    <cellStyle name="20% - Accent1 3 3 3 4 2" xfId="703"/>
    <cellStyle name="20% - Accent1 3 3 3 5" xfId="704"/>
    <cellStyle name="20% - Accent1 3 3 4" xfId="705"/>
    <cellStyle name="20% - Accent1 3 3 4 2" xfId="706"/>
    <cellStyle name="20% - Accent1 3 3 4 2 2" xfId="707"/>
    <cellStyle name="20% - Accent1 3 3 4 2 2 2" xfId="708"/>
    <cellStyle name="20% - Accent1 3 3 4 2 3" xfId="709"/>
    <cellStyle name="20% - Accent1 3 3 4 3" xfId="710"/>
    <cellStyle name="20% - Accent1 3 3 4 3 2" xfId="711"/>
    <cellStyle name="20% - Accent1 3 3 4 4" xfId="712"/>
    <cellStyle name="20% - Accent1 3 3 5" xfId="713"/>
    <cellStyle name="20% - Accent1 3 3 5 2" xfId="714"/>
    <cellStyle name="20% - Accent1 3 3 5 2 2" xfId="715"/>
    <cellStyle name="20% - Accent1 3 3 5 3" xfId="716"/>
    <cellStyle name="20% - Accent1 3 3 6" xfId="717"/>
    <cellStyle name="20% - Accent1 3 3 6 2" xfId="718"/>
    <cellStyle name="20% - Accent1 3 3 7" xfId="719"/>
    <cellStyle name="20% - Accent1 3 4" xfId="720"/>
    <cellStyle name="20% - Accent1 3 4 2" xfId="721"/>
    <cellStyle name="20% - Accent1 3 4 2 2" xfId="722"/>
    <cellStyle name="20% - Accent1 3 4 2 2 2" xfId="723"/>
    <cellStyle name="20% - Accent1 3 4 2 2 2 2" xfId="724"/>
    <cellStyle name="20% - Accent1 3 4 2 2 2 2 2" xfId="725"/>
    <cellStyle name="20% - Accent1 3 4 2 2 2 3" xfId="726"/>
    <cellStyle name="20% - Accent1 3 4 2 2 3" xfId="727"/>
    <cellStyle name="20% - Accent1 3 4 2 2 3 2" xfId="728"/>
    <cellStyle name="20% - Accent1 3 4 2 2 4" xfId="729"/>
    <cellStyle name="20% - Accent1 3 4 2 3" xfId="730"/>
    <cellStyle name="20% - Accent1 3 4 2 3 2" xfId="731"/>
    <cellStyle name="20% - Accent1 3 4 2 3 2 2" xfId="732"/>
    <cellStyle name="20% - Accent1 3 4 2 3 3" xfId="733"/>
    <cellStyle name="20% - Accent1 3 4 2 4" xfId="734"/>
    <cellStyle name="20% - Accent1 3 4 2 4 2" xfId="735"/>
    <cellStyle name="20% - Accent1 3 4 2 5" xfId="736"/>
    <cellStyle name="20% - Accent1 3 4 3" xfId="737"/>
    <cellStyle name="20% - Accent1 3 4 3 2" xfId="738"/>
    <cellStyle name="20% - Accent1 3 4 3 2 2" xfId="739"/>
    <cellStyle name="20% - Accent1 3 4 3 2 2 2" xfId="740"/>
    <cellStyle name="20% - Accent1 3 4 3 2 3" xfId="741"/>
    <cellStyle name="20% - Accent1 3 4 3 3" xfId="742"/>
    <cellStyle name="20% - Accent1 3 4 3 3 2" xfId="743"/>
    <cellStyle name="20% - Accent1 3 4 3 4" xfId="744"/>
    <cellStyle name="20% - Accent1 3 4 4" xfId="745"/>
    <cellStyle name="20% - Accent1 3 4 4 2" xfId="746"/>
    <cellStyle name="20% - Accent1 3 4 4 2 2" xfId="747"/>
    <cellStyle name="20% - Accent1 3 4 4 3" xfId="748"/>
    <cellStyle name="20% - Accent1 3 4 5" xfId="749"/>
    <cellStyle name="20% - Accent1 3 4 5 2" xfId="750"/>
    <cellStyle name="20% - Accent1 3 4 6" xfId="751"/>
    <cellStyle name="20% - Accent1 3 5" xfId="752"/>
    <cellStyle name="20% - Accent1 3 5 2" xfId="753"/>
    <cellStyle name="20% - Accent1 3 5 2 2" xfId="754"/>
    <cellStyle name="20% - Accent1 3 5 2 2 2" xfId="755"/>
    <cellStyle name="20% - Accent1 3 5 2 2 2 2" xfId="756"/>
    <cellStyle name="20% - Accent1 3 5 2 2 3" xfId="757"/>
    <cellStyle name="20% - Accent1 3 5 2 3" xfId="758"/>
    <cellStyle name="20% - Accent1 3 5 2 3 2" xfId="759"/>
    <cellStyle name="20% - Accent1 3 5 2 4" xfId="760"/>
    <cellStyle name="20% - Accent1 3 5 3" xfId="761"/>
    <cellStyle name="20% - Accent1 3 5 3 2" xfId="762"/>
    <cellStyle name="20% - Accent1 3 5 3 2 2" xfId="763"/>
    <cellStyle name="20% - Accent1 3 5 3 3" xfId="764"/>
    <cellStyle name="20% - Accent1 3 5 4" xfId="765"/>
    <cellStyle name="20% - Accent1 3 5 4 2" xfId="766"/>
    <cellStyle name="20% - Accent1 3 5 5" xfId="767"/>
    <cellStyle name="20% - Accent1 3 6" xfId="768"/>
    <cellStyle name="20% - Accent1 3 6 2" xfId="769"/>
    <cellStyle name="20% - Accent1 3 6 2 2" xfId="770"/>
    <cellStyle name="20% - Accent1 3 6 2 2 2" xfId="771"/>
    <cellStyle name="20% - Accent1 3 6 2 3" xfId="772"/>
    <cellStyle name="20% - Accent1 3 6 3" xfId="773"/>
    <cellStyle name="20% - Accent1 3 6 3 2" xfId="774"/>
    <cellStyle name="20% - Accent1 3 6 4" xfId="775"/>
    <cellStyle name="20% - Accent1 3 7" xfId="776"/>
    <cellStyle name="20% - Accent1 3 7 2" xfId="777"/>
    <cellStyle name="20% - Accent1 3 7 2 2" xfId="778"/>
    <cellStyle name="20% - Accent1 3 7 3" xfId="779"/>
    <cellStyle name="20% - Accent1 3 8" xfId="780"/>
    <cellStyle name="20% - Accent1 3 8 2" xfId="781"/>
    <cellStyle name="20% - Accent1 3 9" xfId="782"/>
    <cellStyle name="20% - Accent1 4" xfId="783"/>
    <cellStyle name="20% - Accent1 4 2" xfId="784"/>
    <cellStyle name="20% - Accent1 4 2 2" xfId="785"/>
    <cellStyle name="20% - Accent1 4 2 2 2" xfId="786"/>
    <cellStyle name="20% - Accent1 4 2 2 2 2" xfId="787"/>
    <cellStyle name="20% - Accent1 4 2 2 2 2 2" xfId="788"/>
    <cellStyle name="20% - Accent1 4 2 2 2 2 2 2" xfId="789"/>
    <cellStyle name="20% - Accent1 4 2 2 2 2 2 2 2" xfId="790"/>
    <cellStyle name="20% - Accent1 4 2 2 2 2 2 3" xfId="791"/>
    <cellStyle name="20% - Accent1 4 2 2 2 2 3" xfId="792"/>
    <cellStyle name="20% - Accent1 4 2 2 2 2 3 2" xfId="793"/>
    <cellStyle name="20% - Accent1 4 2 2 2 2 4" xfId="794"/>
    <cellStyle name="20% - Accent1 4 2 2 2 3" xfId="795"/>
    <cellStyle name="20% - Accent1 4 2 2 2 3 2" xfId="796"/>
    <cellStyle name="20% - Accent1 4 2 2 2 3 2 2" xfId="797"/>
    <cellStyle name="20% - Accent1 4 2 2 2 3 3" xfId="798"/>
    <cellStyle name="20% - Accent1 4 2 2 2 4" xfId="799"/>
    <cellStyle name="20% - Accent1 4 2 2 2 4 2" xfId="800"/>
    <cellStyle name="20% - Accent1 4 2 2 2 5" xfId="801"/>
    <cellStyle name="20% - Accent1 4 2 2 3" xfId="802"/>
    <cellStyle name="20% - Accent1 4 2 2 3 2" xfId="803"/>
    <cellStyle name="20% - Accent1 4 2 2 3 2 2" xfId="804"/>
    <cellStyle name="20% - Accent1 4 2 2 3 2 2 2" xfId="805"/>
    <cellStyle name="20% - Accent1 4 2 2 3 2 3" xfId="806"/>
    <cellStyle name="20% - Accent1 4 2 2 3 3" xfId="807"/>
    <cellStyle name="20% - Accent1 4 2 2 3 3 2" xfId="808"/>
    <cellStyle name="20% - Accent1 4 2 2 3 4" xfId="809"/>
    <cellStyle name="20% - Accent1 4 2 2 4" xfId="810"/>
    <cellStyle name="20% - Accent1 4 2 2 4 2" xfId="811"/>
    <cellStyle name="20% - Accent1 4 2 2 4 2 2" xfId="812"/>
    <cellStyle name="20% - Accent1 4 2 2 4 3" xfId="813"/>
    <cellStyle name="20% - Accent1 4 2 2 5" xfId="814"/>
    <cellStyle name="20% - Accent1 4 2 2 5 2" xfId="815"/>
    <cellStyle name="20% - Accent1 4 2 2 6" xfId="816"/>
    <cellStyle name="20% - Accent1 4 2 3" xfId="817"/>
    <cellStyle name="20% - Accent1 4 2 3 2" xfId="818"/>
    <cellStyle name="20% - Accent1 4 2 3 2 2" xfId="819"/>
    <cellStyle name="20% - Accent1 4 2 3 2 2 2" xfId="820"/>
    <cellStyle name="20% - Accent1 4 2 3 2 2 2 2" xfId="821"/>
    <cellStyle name="20% - Accent1 4 2 3 2 2 3" xfId="822"/>
    <cellStyle name="20% - Accent1 4 2 3 2 3" xfId="823"/>
    <cellStyle name="20% - Accent1 4 2 3 2 3 2" xfId="824"/>
    <cellStyle name="20% - Accent1 4 2 3 2 4" xfId="825"/>
    <cellStyle name="20% - Accent1 4 2 3 3" xfId="826"/>
    <cellStyle name="20% - Accent1 4 2 3 3 2" xfId="827"/>
    <cellStyle name="20% - Accent1 4 2 3 3 2 2" xfId="828"/>
    <cellStyle name="20% - Accent1 4 2 3 3 3" xfId="829"/>
    <cellStyle name="20% - Accent1 4 2 3 4" xfId="830"/>
    <cellStyle name="20% - Accent1 4 2 3 4 2" xfId="831"/>
    <cellStyle name="20% - Accent1 4 2 3 5" xfId="832"/>
    <cellStyle name="20% - Accent1 4 2 4" xfId="833"/>
    <cellStyle name="20% - Accent1 4 2 4 2" xfId="834"/>
    <cellStyle name="20% - Accent1 4 2 4 2 2" xfId="835"/>
    <cellStyle name="20% - Accent1 4 2 4 2 2 2" xfId="836"/>
    <cellStyle name="20% - Accent1 4 2 4 2 3" xfId="837"/>
    <cellStyle name="20% - Accent1 4 2 4 3" xfId="838"/>
    <cellStyle name="20% - Accent1 4 2 4 3 2" xfId="839"/>
    <cellStyle name="20% - Accent1 4 2 4 4" xfId="840"/>
    <cellStyle name="20% - Accent1 4 2 5" xfId="841"/>
    <cellStyle name="20% - Accent1 4 2 5 2" xfId="842"/>
    <cellStyle name="20% - Accent1 4 2 5 2 2" xfId="843"/>
    <cellStyle name="20% - Accent1 4 2 5 3" xfId="844"/>
    <cellStyle name="20% - Accent1 4 2 6" xfId="845"/>
    <cellStyle name="20% - Accent1 4 2 6 2" xfId="846"/>
    <cellStyle name="20% - Accent1 4 2 7" xfId="847"/>
    <cellStyle name="20% - Accent1 4 3" xfId="848"/>
    <cellStyle name="20% - Accent1 4 3 2" xfId="849"/>
    <cellStyle name="20% - Accent1 4 3 2 2" xfId="850"/>
    <cellStyle name="20% - Accent1 4 3 2 2 2" xfId="851"/>
    <cellStyle name="20% - Accent1 4 3 2 2 2 2" xfId="852"/>
    <cellStyle name="20% - Accent1 4 3 2 2 2 2 2" xfId="853"/>
    <cellStyle name="20% - Accent1 4 3 2 2 2 3" xfId="854"/>
    <cellStyle name="20% - Accent1 4 3 2 2 3" xfId="855"/>
    <cellStyle name="20% - Accent1 4 3 2 2 3 2" xfId="856"/>
    <cellStyle name="20% - Accent1 4 3 2 2 4" xfId="857"/>
    <cellStyle name="20% - Accent1 4 3 2 3" xfId="858"/>
    <cellStyle name="20% - Accent1 4 3 2 3 2" xfId="859"/>
    <cellStyle name="20% - Accent1 4 3 2 3 2 2" xfId="860"/>
    <cellStyle name="20% - Accent1 4 3 2 3 3" xfId="861"/>
    <cellStyle name="20% - Accent1 4 3 2 4" xfId="862"/>
    <cellStyle name="20% - Accent1 4 3 2 4 2" xfId="863"/>
    <cellStyle name="20% - Accent1 4 3 2 5" xfId="864"/>
    <cellStyle name="20% - Accent1 4 3 3" xfId="865"/>
    <cellStyle name="20% - Accent1 4 3 3 2" xfId="866"/>
    <cellStyle name="20% - Accent1 4 3 3 2 2" xfId="867"/>
    <cellStyle name="20% - Accent1 4 3 3 2 2 2" xfId="868"/>
    <cellStyle name="20% - Accent1 4 3 3 2 3" xfId="869"/>
    <cellStyle name="20% - Accent1 4 3 3 3" xfId="870"/>
    <cellStyle name="20% - Accent1 4 3 3 3 2" xfId="871"/>
    <cellStyle name="20% - Accent1 4 3 3 4" xfId="872"/>
    <cellStyle name="20% - Accent1 4 3 4" xfId="873"/>
    <cellStyle name="20% - Accent1 4 3 4 2" xfId="874"/>
    <cellStyle name="20% - Accent1 4 3 4 2 2" xfId="875"/>
    <cellStyle name="20% - Accent1 4 3 4 3" xfId="876"/>
    <cellStyle name="20% - Accent1 4 3 5" xfId="877"/>
    <cellStyle name="20% - Accent1 4 3 5 2" xfId="878"/>
    <cellStyle name="20% - Accent1 4 3 6" xfId="879"/>
    <cellStyle name="20% - Accent1 4 4" xfId="880"/>
    <cellStyle name="20% - Accent1 4 4 2" xfId="881"/>
    <cellStyle name="20% - Accent1 4 4 2 2" xfId="882"/>
    <cellStyle name="20% - Accent1 4 4 2 2 2" xfId="883"/>
    <cellStyle name="20% - Accent1 4 4 2 2 2 2" xfId="884"/>
    <cellStyle name="20% - Accent1 4 4 2 2 3" xfId="885"/>
    <cellStyle name="20% - Accent1 4 4 2 3" xfId="886"/>
    <cellStyle name="20% - Accent1 4 4 2 3 2" xfId="887"/>
    <cellStyle name="20% - Accent1 4 4 2 4" xfId="888"/>
    <cellStyle name="20% - Accent1 4 4 3" xfId="889"/>
    <cellStyle name="20% - Accent1 4 4 3 2" xfId="890"/>
    <cellStyle name="20% - Accent1 4 4 3 2 2" xfId="891"/>
    <cellStyle name="20% - Accent1 4 4 3 3" xfId="892"/>
    <cellStyle name="20% - Accent1 4 4 4" xfId="893"/>
    <cellStyle name="20% - Accent1 4 4 4 2" xfId="894"/>
    <cellStyle name="20% - Accent1 4 4 5" xfId="895"/>
    <cellStyle name="20% - Accent1 4 5" xfId="896"/>
    <cellStyle name="20% - Accent1 4 5 2" xfId="897"/>
    <cellStyle name="20% - Accent1 4 5 2 2" xfId="898"/>
    <cellStyle name="20% - Accent1 4 5 2 2 2" xfId="899"/>
    <cellStyle name="20% - Accent1 4 5 2 3" xfId="900"/>
    <cellStyle name="20% - Accent1 4 5 3" xfId="901"/>
    <cellStyle name="20% - Accent1 4 5 3 2" xfId="902"/>
    <cellStyle name="20% - Accent1 4 5 4" xfId="903"/>
    <cellStyle name="20% - Accent1 4 6" xfId="904"/>
    <cellStyle name="20% - Accent1 4 6 2" xfId="905"/>
    <cellStyle name="20% - Accent1 4 6 2 2" xfId="906"/>
    <cellStyle name="20% - Accent1 4 6 3" xfId="907"/>
    <cellStyle name="20% - Accent1 4 7" xfId="908"/>
    <cellStyle name="20% - Accent1 4 7 2" xfId="909"/>
    <cellStyle name="20% - Accent1 4 8" xfId="910"/>
    <cellStyle name="20% - Accent1 5" xfId="911"/>
    <cellStyle name="20% - Accent1 5 2" xfId="912"/>
    <cellStyle name="20% - Accent1 5 2 2" xfId="913"/>
    <cellStyle name="20% - Accent1 5 2 2 2" xfId="914"/>
    <cellStyle name="20% - Accent1 5 2 2 2 2" xfId="915"/>
    <cellStyle name="20% - Accent1 5 2 2 2 2 2" xfId="916"/>
    <cellStyle name="20% - Accent1 5 2 2 2 2 2 2" xfId="917"/>
    <cellStyle name="20% - Accent1 5 2 2 2 2 3" xfId="918"/>
    <cellStyle name="20% - Accent1 5 2 2 2 3" xfId="919"/>
    <cellStyle name="20% - Accent1 5 2 2 2 3 2" xfId="920"/>
    <cellStyle name="20% - Accent1 5 2 2 2 4" xfId="921"/>
    <cellStyle name="20% - Accent1 5 2 2 3" xfId="922"/>
    <cellStyle name="20% - Accent1 5 2 2 3 2" xfId="923"/>
    <cellStyle name="20% - Accent1 5 2 2 3 2 2" xfId="924"/>
    <cellStyle name="20% - Accent1 5 2 2 3 3" xfId="925"/>
    <cellStyle name="20% - Accent1 5 2 2 4" xfId="926"/>
    <cellStyle name="20% - Accent1 5 2 2 4 2" xfId="927"/>
    <cellStyle name="20% - Accent1 5 2 2 5" xfId="928"/>
    <cellStyle name="20% - Accent1 5 2 3" xfId="929"/>
    <cellStyle name="20% - Accent1 5 2 3 2" xfId="930"/>
    <cellStyle name="20% - Accent1 5 2 3 2 2" xfId="931"/>
    <cellStyle name="20% - Accent1 5 2 3 2 2 2" xfId="932"/>
    <cellStyle name="20% - Accent1 5 2 3 2 3" xfId="933"/>
    <cellStyle name="20% - Accent1 5 2 3 3" xfId="934"/>
    <cellStyle name="20% - Accent1 5 2 3 3 2" xfId="935"/>
    <cellStyle name="20% - Accent1 5 2 3 4" xfId="936"/>
    <cellStyle name="20% - Accent1 5 2 4" xfId="937"/>
    <cellStyle name="20% - Accent1 5 2 4 2" xfId="938"/>
    <cellStyle name="20% - Accent1 5 2 4 2 2" xfId="939"/>
    <cellStyle name="20% - Accent1 5 2 4 3" xfId="940"/>
    <cellStyle name="20% - Accent1 5 2 5" xfId="941"/>
    <cellStyle name="20% - Accent1 5 2 5 2" xfId="942"/>
    <cellStyle name="20% - Accent1 5 2 6" xfId="943"/>
    <cellStyle name="20% - Accent1 5 3" xfId="944"/>
    <cellStyle name="20% - Accent1 5 3 2" xfId="945"/>
    <cellStyle name="20% - Accent1 5 3 2 2" xfId="946"/>
    <cellStyle name="20% - Accent1 5 3 2 2 2" xfId="947"/>
    <cellStyle name="20% - Accent1 5 3 2 2 2 2" xfId="948"/>
    <cellStyle name="20% - Accent1 5 3 2 2 3" xfId="949"/>
    <cellStyle name="20% - Accent1 5 3 2 3" xfId="950"/>
    <cellStyle name="20% - Accent1 5 3 2 3 2" xfId="951"/>
    <cellStyle name="20% - Accent1 5 3 2 4" xfId="952"/>
    <cellStyle name="20% - Accent1 5 3 3" xfId="953"/>
    <cellStyle name="20% - Accent1 5 3 3 2" xfId="954"/>
    <cellStyle name="20% - Accent1 5 3 3 2 2" xfId="955"/>
    <cellStyle name="20% - Accent1 5 3 3 3" xfId="956"/>
    <cellStyle name="20% - Accent1 5 3 4" xfId="957"/>
    <cellStyle name="20% - Accent1 5 3 4 2" xfId="958"/>
    <cellStyle name="20% - Accent1 5 3 5" xfId="959"/>
    <cellStyle name="20% - Accent1 5 4" xfId="960"/>
    <cellStyle name="20% - Accent1 5 4 2" xfId="961"/>
    <cellStyle name="20% - Accent1 5 4 2 2" xfId="962"/>
    <cellStyle name="20% - Accent1 5 4 2 2 2" xfId="963"/>
    <cellStyle name="20% - Accent1 5 4 2 3" xfId="964"/>
    <cellStyle name="20% - Accent1 5 4 3" xfId="965"/>
    <cellStyle name="20% - Accent1 5 4 3 2" xfId="966"/>
    <cellStyle name="20% - Accent1 5 4 4" xfId="967"/>
    <cellStyle name="20% - Accent1 5 5" xfId="968"/>
    <cellStyle name="20% - Accent1 5 5 2" xfId="969"/>
    <cellStyle name="20% - Accent1 5 5 2 2" xfId="970"/>
    <cellStyle name="20% - Accent1 5 5 3" xfId="971"/>
    <cellStyle name="20% - Accent1 5 6" xfId="972"/>
    <cellStyle name="20% - Accent1 5 6 2" xfId="973"/>
    <cellStyle name="20% - Accent1 5 7" xfId="974"/>
    <cellStyle name="20% - Accent1 6" xfId="975"/>
    <cellStyle name="20% - Accent1 6 2" xfId="976"/>
    <cellStyle name="20% - Accent1 6 2 2" xfId="977"/>
    <cellStyle name="20% - Accent1 6 2 2 2" xfId="978"/>
    <cellStyle name="20% - Accent1 6 2 2 2 2" xfId="979"/>
    <cellStyle name="20% - Accent1 6 2 2 2 2 2" xfId="980"/>
    <cellStyle name="20% - Accent1 6 2 2 2 3" xfId="981"/>
    <cellStyle name="20% - Accent1 6 2 2 3" xfId="982"/>
    <cellStyle name="20% - Accent1 6 2 2 3 2" xfId="983"/>
    <cellStyle name="20% - Accent1 6 2 2 4" xfId="984"/>
    <cellStyle name="20% - Accent1 6 2 3" xfId="985"/>
    <cellStyle name="20% - Accent1 6 2 3 2" xfId="986"/>
    <cellStyle name="20% - Accent1 6 2 3 2 2" xfId="987"/>
    <cellStyle name="20% - Accent1 6 2 3 3" xfId="988"/>
    <cellStyle name="20% - Accent1 6 2 4" xfId="989"/>
    <cellStyle name="20% - Accent1 6 2 4 2" xfId="990"/>
    <cellStyle name="20% - Accent1 6 2 5" xfId="991"/>
    <cellStyle name="20% - Accent1 6 3" xfId="992"/>
    <cellStyle name="20% - Accent1 6 3 2" xfId="993"/>
    <cellStyle name="20% - Accent1 6 3 2 2" xfId="994"/>
    <cellStyle name="20% - Accent1 6 3 2 2 2" xfId="995"/>
    <cellStyle name="20% - Accent1 6 3 2 3" xfId="996"/>
    <cellStyle name="20% - Accent1 6 3 3" xfId="997"/>
    <cellStyle name="20% - Accent1 6 3 3 2" xfId="998"/>
    <cellStyle name="20% - Accent1 6 3 4" xfId="999"/>
    <cellStyle name="20% - Accent1 6 4" xfId="1000"/>
    <cellStyle name="20% - Accent1 6 4 2" xfId="1001"/>
    <cellStyle name="20% - Accent1 6 4 2 2" xfId="1002"/>
    <cellStyle name="20% - Accent1 6 4 3" xfId="1003"/>
    <cellStyle name="20% - Accent1 6 5" xfId="1004"/>
    <cellStyle name="20% - Accent1 6 5 2" xfId="1005"/>
    <cellStyle name="20% - Accent1 6 6" xfId="1006"/>
    <cellStyle name="20% - Accent1 7" xfId="1007"/>
    <cellStyle name="20% - Accent1 7 2" xfId="1008"/>
    <cellStyle name="20% - Accent1 7 2 2" xfId="1009"/>
    <cellStyle name="20% - Accent1 7 2 2 2" xfId="1010"/>
    <cellStyle name="20% - Accent1 7 2 2 2 2" xfId="1011"/>
    <cellStyle name="20% - Accent1 7 2 2 3" xfId="1012"/>
    <cellStyle name="20% - Accent1 7 2 3" xfId="1013"/>
    <cellStyle name="20% - Accent1 7 2 3 2" xfId="1014"/>
    <cellStyle name="20% - Accent1 7 2 4" xfId="1015"/>
    <cellStyle name="20% - Accent1 7 3" xfId="1016"/>
    <cellStyle name="20% - Accent1 7 3 2" xfId="1017"/>
    <cellStyle name="20% - Accent1 7 3 2 2" xfId="1018"/>
    <cellStyle name="20% - Accent1 7 3 3" xfId="1019"/>
    <cellStyle name="20% - Accent1 7 4" xfId="1020"/>
    <cellStyle name="20% - Accent1 7 4 2" xfId="1021"/>
    <cellStyle name="20% - Accent1 7 5" xfId="1022"/>
    <cellStyle name="20% - Accent1 8" xfId="1023"/>
    <cellStyle name="20% - Accent1 8 2" xfId="1024"/>
    <cellStyle name="20% - Accent1 8 2 2" xfId="1025"/>
    <cellStyle name="20% - Accent1 8 2 2 2" xfId="1026"/>
    <cellStyle name="20% - Accent1 8 2 3" xfId="1027"/>
    <cellStyle name="20% - Accent1 8 3" xfId="1028"/>
    <cellStyle name="20% - Accent1 8 3 2" xfId="1029"/>
    <cellStyle name="20% - Accent1 8 4" xfId="1030"/>
    <cellStyle name="20% - Accent1 9" xfId="1031"/>
    <cellStyle name="20% - Accent1 9 2" xfId="1032"/>
    <cellStyle name="20% - Accent1 9 2 2" xfId="1033"/>
    <cellStyle name="20% - Accent1 9 3" xfId="1034"/>
    <cellStyle name="20% - Accent2 10" xfId="1035"/>
    <cellStyle name="20% - Accent2 10 2" xfId="1036"/>
    <cellStyle name="20% - Accent2 11" xfId="1037"/>
    <cellStyle name="20% - Accent2 12" xfId="1038"/>
    <cellStyle name="20% - Accent2 13" xfId="1039"/>
    <cellStyle name="20% - Accent2 14" xfId="1040"/>
    <cellStyle name="20% - Accent2 2" xfId="1041"/>
    <cellStyle name="20% - Accent2 2 10" xfId="1042"/>
    <cellStyle name="20% - Accent2 2 2" xfId="1043"/>
    <cellStyle name="20% - Accent2 2 2 2" xfId="1044"/>
    <cellStyle name="20% - Accent2 2 2 2 2" xfId="1045"/>
    <cellStyle name="20% - Accent2 2 2 2 2 2" xfId="1046"/>
    <cellStyle name="20% - Accent2 2 2 2 2 2 2" xfId="1047"/>
    <cellStyle name="20% - Accent2 2 2 2 2 2 2 2" xfId="1048"/>
    <cellStyle name="20% - Accent2 2 2 2 2 2 2 2 2" xfId="1049"/>
    <cellStyle name="20% - Accent2 2 2 2 2 2 2 2 2 2" xfId="1050"/>
    <cellStyle name="20% - Accent2 2 2 2 2 2 2 2 2 2 2" xfId="1051"/>
    <cellStyle name="20% - Accent2 2 2 2 2 2 2 2 2 3" xfId="1052"/>
    <cellStyle name="20% - Accent2 2 2 2 2 2 2 2 3" xfId="1053"/>
    <cellStyle name="20% - Accent2 2 2 2 2 2 2 2 3 2" xfId="1054"/>
    <cellStyle name="20% - Accent2 2 2 2 2 2 2 2 4" xfId="1055"/>
    <cellStyle name="20% - Accent2 2 2 2 2 2 2 3" xfId="1056"/>
    <cellStyle name="20% - Accent2 2 2 2 2 2 2 3 2" xfId="1057"/>
    <cellStyle name="20% - Accent2 2 2 2 2 2 2 3 2 2" xfId="1058"/>
    <cellStyle name="20% - Accent2 2 2 2 2 2 2 3 3" xfId="1059"/>
    <cellStyle name="20% - Accent2 2 2 2 2 2 2 4" xfId="1060"/>
    <cellStyle name="20% - Accent2 2 2 2 2 2 2 4 2" xfId="1061"/>
    <cellStyle name="20% - Accent2 2 2 2 2 2 2 5" xfId="1062"/>
    <cellStyle name="20% - Accent2 2 2 2 2 2 3" xfId="1063"/>
    <cellStyle name="20% - Accent2 2 2 2 2 2 3 2" xfId="1064"/>
    <cellStyle name="20% - Accent2 2 2 2 2 2 3 2 2" xfId="1065"/>
    <cellStyle name="20% - Accent2 2 2 2 2 2 3 2 2 2" xfId="1066"/>
    <cellStyle name="20% - Accent2 2 2 2 2 2 3 2 3" xfId="1067"/>
    <cellStyle name="20% - Accent2 2 2 2 2 2 3 3" xfId="1068"/>
    <cellStyle name="20% - Accent2 2 2 2 2 2 3 3 2" xfId="1069"/>
    <cellStyle name="20% - Accent2 2 2 2 2 2 3 4" xfId="1070"/>
    <cellStyle name="20% - Accent2 2 2 2 2 2 4" xfId="1071"/>
    <cellStyle name="20% - Accent2 2 2 2 2 2 4 2" xfId="1072"/>
    <cellStyle name="20% - Accent2 2 2 2 2 2 4 2 2" xfId="1073"/>
    <cellStyle name="20% - Accent2 2 2 2 2 2 4 3" xfId="1074"/>
    <cellStyle name="20% - Accent2 2 2 2 2 2 5" xfId="1075"/>
    <cellStyle name="20% - Accent2 2 2 2 2 2 5 2" xfId="1076"/>
    <cellStyle name="20% - Accent2 2 2 2 2 2 6" xfId="1077"/>
    <cellStyle name="20% - Accent2 2 2 2 2 3" xfId="1078"/>
    <cellStyle name="20% - Accent2 2 2 2 2 3 2" xfId="1079"/>
    <cellStyle name="20% - Accent2 2 2 2 2 3 2 2" xfId="1080"/>
    <cellStyle name="20% - Accent2 2 2 2 2 3 2 2 2" xfId="1081"/>
    <cellStyle name="20% - Accent2 2 2 2 2 3 2 2 2 2" xfId="1082"/>
    <cellStyle name="20% - Accent2 2 2 2 2 3 2 2 3" xfId="1083"/>
    <cellStyle name="20% - Accent2 2 2 2 2 3 2 3" xfId="1084"/>
    <cellStyle name="20% - Accent2 2 2 2 2 3 2 3 2" xfId="1085"/>
    <cellStyle name="20% - Accent2 2 2 2 2 3 2 4" xfId="1086"/>
    <cellStyle name="20% - Accent2 2 2 2 2 3 3" xfId="1087"/>
    <cellStyle name="20% - Accent2 2 2 2 2 3 3 2" xfId="1088"/>
    <cellStyle name="20% - Accent2 2 2 2 2 3 3 2 2" xfId="1089"/>
    <cellStyle name="20% - Accent2 2 2 2 2 3 3 3" xfId="1090"/>
    <cellStyle name="20% - Accent2 2 2 2 2 3 4" xfId="1091"/>
    <cellStyle name="20% - Accent2 2 2 2 2 3 4 2" xfId="1092"/>
    <cellStyle name="20% - Accent2 2 2 2 2 3 5" xfId="1093"/>
    <cellStyle name="20% - Accent2 2 2 2 2 4" xfId="1094"/>
    <cellStyle name="20% - Accent2 2 2 2 2 4 2" xfId="1095"/>
    <cellStyle name="20% - Accent2 2 2 2 2 4 2 2" xfId="1096"/>
    <cellStyle name="20% - Accent2 2 2 2 2 4 2 2 2" xfId="1097"/>
    <cellStyle name="20% - Accent2 2 2 2 2 4 2 3" xfId="1098"/>
    <cellStyle name="20% - Accent2 2 2 2 2 4 3" xfId="1099"/>
    <cellStyle name="20% - Accent2 2 2 2 2 4 3 2" xfId="1100"/>
    <cellStyle name="20% - Accent2 2 2 2 2 4 4" xfId="1101"/>
    <cellStyle name="20% - Accent2 2 2 2 2 5" xfId="1102"/>
    <cellStyle name="20% - Accent2 2 2 2 2 5 2" xfId="1103"/>
    <cellStyle name="20% - Accent2 2 2 2 2 5 2 2" xfId="1104"/>
    <cellStyle name="20% - Accent2 2 2 2 2 5 3" xfId="1105"/>
    <cellStyle name="20% - Accent2 2 2 2 2 6" xfId="1106"/>
    <cellStyle name="20% - Accent2 2 2 2 2 6 2" xfId="1107"/>
    <cellStyle name="20% - Accent2 2 2 2 2 7" xfId="1108"/>
    <cellStyle name="20% - Accent2 2 2 2 3" xfId="1109"/>
    <cellStyle name="20% - Accent2 2 2 2 3 2" xfId="1110"/>
    <cellStyle name="20% - Accent2 2 2 2 3 2 2" xfId="1111"/>
    <cellStyle name="20% - Accent2 2 2 2 3 2 2 2" xfId="1112"/>
    <cellStyle name="20% - Accent2 2 2 2 3 2 2 2 2" xfId="1113"/>
    <cellStyle name="20% - Accent2 2 2 2 3 2 2 2 2 2" xfId="1114"/>
    <cellStyle name="20% - Accent2 2 2 2 3 2 2 2 3" xfId="1115"/>
    <cellStyle name="20% - Accent2 2 2 2 3 2 2 3" xfId="1116"/>
    <cellStyle name="20% - Accent2 2 2 2 3 2 2 3 2" xfId="1117"/>
    <cellStyle name="20% - Accent2 2 2 2 3 2 2 4" xfId="1118"/>
    <cellStyle name="20% - Accent2 2 2 2 3 2 3" xfId="1119"/>
    <cellStyle name="20% - Accent2 2 2 2 3 2 3 2" xfId="1120"/>
    <cellStyle name="20% - Accent2 2 2 2 3 2 3 2 2" xfId="1121"/>
    <cellStyle name="20% - Accent2 2 2 2 3 2 3 3" xfId="1122"/>
    <cellStyle name="20% - Accent2 2 2 2 3 2 4" xfId="1123"/>
    <cellStyle name="20% - Accent2 2 2 2 3 2 4 2" xfId="1124"/>
    <cellStyle name="20% - Accent2 2 2 2 3 2 5" xfId="1125"/>
    <cellStyle name="20% - Accent2 2 2 2 3 3" xfId="1126"/>
    <cellStyle name="20% - Accent2 2 2 2 3 3 2" xfId="1127"/>
    <cellStyle name="20% - Accent2 2 2 2 3 3 2 2" xfId="1128"/>
    <cellStyle name="20% - Accent2 2 2 2 3 3 2 2 2" xfId="1129"/>
    <cellStyle name="20% - Accent2 2 2 2 3 3 2 3" xfId="1130"/>
    <cellStyle name="20% - Accent2 2 2 2 3 3 3" xfId="1131"/>
    <cellStyle name="20% - Accent2 2 2 2 3 3 3 2" xfId="1132"/>
    <cellStyle name="20% - Accent2 2 2 2 3 3 4" xfId="1133"/>
    <cellStyle name="20% - Accent2 2 2 2 3 4" xfId="1134"/>
    <cellStyle name="20% - Accent2 2 2 2 3 4 2" xfId="1135"/>
    <cellStyle name="20% - Accent2 2 2 2 3 4 2 2" xfId="1136"/>
    <cellStyle name="20% - Accent2 2 2 2 3 4 3" xfId="1137"/>
    <cellStyle name="20% - Accent2 2 2 2 3 5" xfId="1138"/>
    <cellStyle name="20% - Accent2 2 2 2 3 5 2" xfId="1139"/>
    <cellStyle name="20% - Accent2 2 2 2 3 6" xfId="1140"/>
    <cellStyle name="20% - Accent2 2 2 2 4" xfId="1141"/>
    <cellStyle name="20% - Accent2 2 2 2 4 2" xfId="1142"/>
    <cellStyle name="20% - Accent2 2 2 2 4 2 2" xfId="1143"/>
    <cellStyle name="20% - Accent2 2 2 2 4 2 2 2" xfId="1144"/>
    <cellStyle name="20% - Accent2 2 2 2 4 2 2 2 2" xfId="1145"/>
    <cellStyle name="20% - Accent2 2 2 2 4 2 2 3" xfId="1146"/>
    <cellStyle name="20% - Accent2 2 2 2 4 2 3" xfId="1147"/>
    <cellStyle name="20% - Accent2 2 2 2 4 2 3 2" xfId="1148"/>
    <cellStyle name="20% - Accent2 2 2 2 4 2 4" xfId="1149"/>
    <cellStyle name="20% - Accent2 2 2 2 4 3" xfId="1150"/>
    <cellStyle name="20% - Accent2 2 2 2 4 3 2" xfId="1151"/>
    <cellStyle name="20% - Accent2 2 2 2 4 3 2 2" xfId="1152"/>
    <cellStyle name="20% - Accent2 2 2 2 4 3 3" xfId="1153"/>
    <cellStyle name="20% - Accent2 2 2 2 4 4" xfId="1154"/>
    <cellStyle name="20% - Accent2 2 2 2 4 4 2" xfId="1155"/>
    <cellStyle name="20% - Accent2 2 2 2 4 5" xfId="1156"/>
    <cellStyle name="20% - Accent2 2 2 2 5" xfId="1157"/>
    <cellStyle name="20% - Accent2 2 2 2 5 2" xfId="1158"/>
    <cellStyle name="20% - Accent2 2 2 2 5 2 2" xfId="1159"/>
    <cellStyle name="20% - Accent2 2 2 2 5 2 2 2" xfId="1160"/>
    <cellStyle name="20% - Accent2 2 2 2 5 2 3" xfId="1161"/>
    <cellStyle name="20% - Accent2 2 2 2 5 3" xfId="1162"/>
    <cellStyle name="20% - Accent2 2 2 2 5 3 2" xfId="1163"/>
    <cellStyle name="20% - Accent2 2 2 2 5 4" xfId="1164"/>
    <cellStyle name="20% - Accent2 2 2 2 6" xfId="1165"/>
    <cellStyle name="20% - Accent2 2 2 2 6 2" xfId="1166"/>
    <cellStyle name="20% - Accent2 2 2 2 6 2 2" xfId="1167"/>
    <cellStyle name="20% - Accent2 2 2 2 6 3" xfId="1168"/>
    <cellStyle name="20% - Accent2 2 2 2 7" xfId="1169"/>
    <cellStyle name="20% - Accent2 2 2 2 7 2" xfId="1170"/>
    <cellStyle name="20% - Accent2 2 2 2 8" xfId="1171"/>
    <cellStyle name="20% - Accent2 2 2 3" xfId="1172"/>
    <cellStyle name="20% - Accent2 2 2 3 2" xfId="1173"/>
    <cellStyle name="20% - Accent2 2 2 3 2 2" xfId="1174"/>
    <cellStyle name="20% - Accent2 2 2 3 2 2 2" xfId="1175"/>
    <cellStyle name="20% - Accent2 2 2 3 2 2 2 2" xfId="1176"/>
    <cellStyle name="20% - Accent2 2 2 3 2 2 2 2 2" xfId="1177"/>
    <cellStyle name="20% - Accent2 2 2 3 2 2 2 2 2 2" xfId="1178"/>
    <cellStyle name="20% - Accent2 2 2 3 2 2 2 2 3" xfId="1179"/>
    <cellStyle name="20% - Accent2 2 2 3 2 2 2 3" xfId="1180"/>
    <cellStyle name="20% - Accent2 2 2 3 2 2 2 3 2" xfId="1181"/>
    <cellStyle name="20% - Accent2 2 2 3 2 2 2 4" xfId="1182"/>
    <cellStyle name="20% - Accent2 2 2 3 2 2 3" xfId="1183"/>
    <cellStyle name="20% - Accent2 2 2 3 2 2 3 2" xfId="1184"/>
    <cellStyle name="20% - Accent2 2 2 3 2 2 3 2 2" xfId="1185"/>
    <cellStyle name="20% - Accent2 2 2 3 2 2 3 3" xfId="1186"/>
    <cellStyle name="20% - Accent2 2 2 3 2 2 4" xfId="1187"/>
    <cellStyle name="20% - Accent2 2 2 3 2 2 4 2" xfId="1188"/>
    <cellStyle name="20% - Accent2 2 2 3 2 2 5" xfId="1189"/>
    <cellStyle name="20% - Accent2 2 2 3 2 3" xfId="1190"/>
    <cellStyle name="20% - Accent2 2 2 3 2 3 2" xfId="1191"/>
    <cellStyle name="20% - Accent2 2 2 3 2 3 2 2" xfId="1192"/>
    <cellStyle name="20% - Accent2 2 2 3 2 3 2 2 2" xfId="1193"/>
    <cellStyle name="20% - Accent2 2 2 3 2 3 2 3" xfId="1194"/>
    <cellStyle name="20% - Accent2 2 2 3 2 3 3" xfId="1195"/>
    <cellStyle name="20% - Accent2 2 2 3 2 3 3 2" xfId="1196"/>
    <cellStyle name="20% - Accent2 2 2 3 2 3 4" xfId="1197"/>
    <cellStyle name="20% - Accent2 2 2 3 2 4" xfId="1198"/>
    <cellStyle name="20% - Accent2 2 2 3 2 4 2" xfId="1199"/>
    <cellStyle name="20% - Accent2 2 2 3 2 4 2 2" xfId="1200"/>
    <cellStyle name="20% - Accent2 2 2 3 2 4 3" xfId="1201"/>
    <cellStyle name="20% - Accent2 2 2 3 2 5" xfId="1202"/>
    <cellStyle name="20% - Accent2 2 2 3 2 5 2" xfId="1203"/>
    <cellStyle name="20% - Accent2 2 2 3 2 6" xfId="1204"/>
    <cellStyle name="20% - Accent2 2 2 3 3" xfId="1205"/>
    <cellStyle name="20% - Accent2 2 2 3 3 2" xfId="1206"/>
    <cellStyle name="20% - Accent2 2 2 3 3 2 2" xfId="1207"/>
    <cellStyle name="20% - Accent2 2 2 3 3 2 2 2" xfId="1208"/>
    <cellStyle name="20% - Accent2 2 2 3 3 2 2 2 2" xfId="1209"/>
    <cellStyle name="20% - Accent2 2 2 3 3 2 2 3" xfId="1210"/>
    <cellStyle name="20% - Accent2 2 2 3 3 2 3" xfId="1211"/>
    <cellStyle name="20% - Accent2 2 2 3 3 2 3 2" xfId="1212"/>
    <cellStyle name="20% - Accent2 2 2 3 3 2 4" xfId="1213"/>
    <cellStyle name="20% - Accent2 2 2 3 3 3" xfId="1214"/>
    <cellStyle name="20% - Accent2 2 2 3 3 3 2" xfId="1215"/>
    <cellStyle name="20% - Accent2 2 2 3 3 3 2 2" xfId="1216"/>
    <cellStyle name="20% - Accent2 2 2 3 3 3 3" xfId="1217"/>
    <cellStyle name="20% - Accent2 2 2 3 3 4" xfId="1218"/>
    <cellStyle name="20% - Accent2 2 2 3 3 4 2" xfId="1219"/>
    <cellStyle name="20% - Accent2 2 2 3 3 5" xfId="1220"/>
    <cellStyle name="20% - Accent2 2 2 3 4" xfId="1221"/>
    <cellStyle name="20% - Accent2 2 2 3 4 2" xfId="1222"/>
    <cellStyle name="20% - Accent2 2 2 3 4 2 2" xfId="1223"/>
    <cellStyle name="20% - Accent2 2 2 3 4 2 2 2" xfId="1224"/>
    <cellStyle name="20% - Accent2 2 2 3 4 2 3" xfId="1225"/>
    <cellStyle name="20% - Accent2 2 2 3 4 3" xfId="1226"/>
    <cellStyle name="20% - Accent2 2 2 3 4 3 2" xfId="1227"/>
    <cellStyle name="20% - Accent2 2 2 3 4 4" xfId="1228"/>
    <cellStyle name="20% - Accent2 2 2 3 5" xfId="1229"/>
    <cellStyle name="20% - Accent2 2 2 3 5 2" xfId="1230"/>
    <cellStyle name="20% - Accent2 2 2 3 5 2 2" xfId="1231"/>
    <cellStyle name="20% - Accent2 2 2 3 5 3" xfId="1232"/>
    <cellStyle name="20% - Accent2 2 2 3 6" xfId="1233"/>
    <cellStyle name="20% - Accent2 2 2 3 6 2" xfId="1234"/>
    <cellStyle name="20% - Accent2 2 2 3 7" xfId="1235"/>
    <cellStyle name="20% - Accent2 2 2 4" xfId="1236"/>
    <cellStyle name="20% - Accent2 2 2 4 2" xfId="1237"/>
    <cellStyle name="20% - Accent2 2 2 4 2 2" xfId="1238"/>
    <cellStyle name="20% - Accent2 2 2 4 2 2 2" xfId="1239"/>
    <cellStyle name="20% - Accent2 2 2 4 2 2 2 2" xfId="1240"/>
    <cellStyle name="20% - Accent2 2 2 4 2 2 2 2 2" xfId="1241"/>
    <cellStyle name="20% - Accent2 2 2 4 2 2 2 3" xfId="1242"/>
    <cellStyle name="20% - Accent2 2 2 4 2 2 3" xfId="1243"/>
    <cellStyle name="20% - Accent2 2 2 4 2 2 3 2" xfId="1244"/>
    <cellStyle name="20% - Accent2 2 2 4 2 2 4" xfId="1245"/>
    <cellStyle name="20% - Accent2 2 2 4 2 3" xfId="1246"/>
    <cellStyle name="20% - Accent2 2 2 4 2 3 2" xfId="1247"/>
    <cellStyle name="20% - Accent2 2 2 4 2 3 2 2" xfId="1248"/>
    <cellStyle name="20% - Accent2 2 2 4 2 3 3" xfId="1249"/>
    <cellStyle name="20% - Accent2 2 2 4 2 4" xfId="1250"/>
    <cellStyle name="20% - Accent2 2 2 4 2 4 2" xfId="1251"/>
    <cellStyle name="20% - Accent2 2 2 4 2 5" xfId="1252"/>
    <cellStyle name="20% - Accent2 2 2 4 3" xfId="1253"/>
    <cellStyle name="20% - Accent2 2 2 4 3 2" xfId="1254"/>
    <cellStyle name="20% - Accent2 2 2 4 3 2 2" xfId="1255"/>
    <cellStyle name="20% - Accent2 2 2 4 3 2 2 2" xfId="1256"/>
    <cellStyle name="20% - Accent2 2 2 4 3 2 3" xfId="1257"/>
    <cellStyle name="20% - Accent2 2 2 4 3 3" xfId="1258"/>
    <cellStyle name="20% - Accent2 2 2 4 3 3 2" xfId="1259"/>
    <cellStyle name="20% - Accent2 2 2 4 3 4" xfId="1260"/>
    <cellStyle name="20% - Accent2 2 2 4 4" xfId="1261"/>
    <cellStyle name="20% - Accent2 2 2 4 4 2" xfId="1262"/>
    <cellStyle name="20% - Accent2 2 2 4 4 2 2" xfId="1263"/>
    <cellStyle name="20% - Accent2 2 2 4 4 3" xfId="1264"/>
    <cellStyle name="20% - Accent2 2 2 4 5" xfId="1265"/>
    <cellStyle name="20% - Accent2 2 2 4 5 2" xfId="1266"/>
    <cellStyle name="20% - Accent2 2 2 4 6" xfId="1267"/>
    <cellStyle name="20% - Accent2 2 2 5" xfId="1268"/>
    <cellStyle name="20% - Accent2 2 2 5 2" xfId="1269"/>
    <cellStyle name="20% - Accent2 2 2 5 2 2" xfId="1270"/>
    <cellStyle name="20% - Accent2 2 2 5 2 2 2" xfId="1271"/>
    <cellStyle name="20% - Accent2 2 2 5 2 2 2 2" xfId="1272"/>
    <cellStyle name="20% - Accent2 2 2 5 2 2 3" xfId="1273"/>
    <cellStyle name="20% - Accent2 2 2 5 2 3" xfId="1274"/>
    <cellStyle name="20% - Accent2 2 2 5 2 3 2" xfId="1275"/>
    <cellStyle name="20% - Accent2 2 2 5 2 4" xfId="1276"/>
    <cellStyle name="20% - Accent2 2 2 5 3" xfId="1277"/>
    <cellStyle name="20% - Accent2 2 2 5 3 2" xfId="1278"/>
    <cellStyle name="20% - Accent2 2 2 5 3 2 2" xfId="1279"/>
    <cellStyle name="20% - Accent2 2 2 5 3 3" xfId="1280"/>
    <cellStyle name="20% - Accent2 2 2 5 4" xfId="1281"/>
    <cellStyle name="20% - Accent2 2 2 5 4 2" xfId="1282"/>
    <cellStyle name="20% - Accent2 2 2 5 5" xfId="1283"/>
    <cellStyle name="20% - Accent2 2 2 6" xfId="1284"/>
    <cellStyle name="20% - Accent2 2 2 6 2" xfId="1285"/>
    <cellStyle name="20% - Accent2 2 2 6 2 2" xfId="1286"/>
    <cellStyle name="20% - Accent2 2 2 6 2 2 2" xfId="1287"/>
    <cellStyle name="20% - Accent2 2 2 6 2 3" xfId="1288"/>
    <cellStyle name="20% - Accent2 2 2 6 3" xfId="1289"/>
    <cellStyle name="20% - Accent2 2 2 6 3 2" xfId="1290"/>
    <cellStyle name="20% - Accent2 2 2 6 4" xfId="1291"/>
    <cellStyle name="20% - Accent2 2 2 7" xfId="1292"/>
    <cellStyle name="20% - Accent2 2 2 7 2" xfId="1293"/>
    <cellStyle name="20% - Accent2 2 2 7 2 2" xfId="1294"/>
    <cellStyle name="20% - Accent2 2 2 7 3" xfId="1295"/>
    <cellStyle name="20% - Accent2 2 2 8" xfId="1296"/>
    <cellStyle name="20% - Accent2 2 2 8 2" xfId="1297"/>
    <cellStyle name="20% - Accent2 2 2 9" xfId="1298"/>
    <cellStyle name="20% - Accent2 2 3" xfId="1299"/>
    <cellStyle name="20% - Accent2 2 3 2" xfId="1300"/>
    <cellStyle name="20% - Accent2 2 3 2 2" xfId="1301"/>
    <cellStyle name="20% - Accent2 2 3 2 2 2" xfId="1302"/>
    <cellStyle name="20% - Accent2 2 3 2 2 2 2" xfId="1303"/>
    <cellStyle name="20% - Accent2 2 3 2 2 2 2 2" xfId="1304"/>
    <cellStyle name="20% - Accent2 2 3 2 2 2 2 2 2" xfId="1305"/>
    <cellStyle name="20% - Accent2 2 3 2 2 2 2 2 2 2" xfId="1306"/>
    <cellStyle name="20% - Accent2 2 3 2 2 2 2 2 3" xfId="1307"/>
    <cellStyle name="20% - Accent2 2 3 2 2 2 2 3" xfId="1308"/>
    <cellStyle name="20% - Accent2 2 3 2 2 2 2 3 2" xfId="1309"/>
    <cellStyle name="20% - Accent2 2 3 2 2 2 2 4" xfId="1310"/>
    <cellStyle name="20% - Accent2 2 3 2 2 2 3" xfId="1311"/>
    <cellStyle name="20% - Accent2 2 3 2 2 2 3 2" xfId="1312"/>
    <cellStyle name="20% - Accent2 2 3 2 2 2 3 2 2" xfId="1313"/>
    <cellStyle name="20% - Accent2 2 3 2 2 2 3 3" xfId="1314"/>
    <cellStyle name="20% - Accent2 2 3 2 2 2 4" xfId="1315"/>
    <cellStyle name="20% - Accent2 2 3 2 2 2 4 2" xfId="1316"/>
    <cellStyle name="20% - Accent2 2 3 2 2 2 5" xfId="1317"/>
    <cellStyle name="20% - Accent2 2 3 2 2 3" xfId="1318"/>
    <cellStyle name="20% - Accent2 2 3 2 2 3 2" xfId="1319"/>
    <cellStyle name="20% - Accent2 2 3 2 2 3 2 2" xfId="1320"/>
    <cellStyle name="20% - Accent2 2 3 2 2 3 2 2 2" xfId="1321"/>
    <cellStyle name="20% - Accent2 2 3 2 2 3 2 3" xfId="1322"/>
    <cellStyle name="20% - Accent2 2 3 2 2 3 3" xfId="1323"/>
    <cellStyle name="20% - Accent2 2 3 2 2 3 3 2" xfId="1324"/>
    <cellStyle name="20% - Accent2 2 3 2 2 3 4" xfId="1325"/>
    <cellStyle name="20% - Accent2 2 3 2 2 4" xfId="1326"/>
    <cellStyle name="20% - Accent2 2 3 2 2 4 2" xfId="1327"/>
    <cellStyle name="20% - Accent2 2 3 2 2 4 2 2" xfId="1328"/>
    <cellStyle name="20% - Accent2 2 3 2 2 4 3" xfId="1329"/>
    <cellStyle name="20% - Accent2 2 3 2 2 5" xfId="1330"/>
    <cellStyle name="20% - Accent2 2 3 2 2 5 2" xfId="1331"/>
    <cellStyle name="20% - Accent2 2 3 2 2 6" xfId="1332"/>
    <cellStyle name="20% - Accent2 2 3 2 3" xfId="1333"/>
    <cellStyle name="20% - Accent2 2 3 2 3 2" xfId="1334"/>
    <cellStyle name="20% - Accent2 2 3 2 3 2 2" xfId="1335"/>
    <cellStyle name="20% - Accent2 2 3 2 3 2 2 2" xfId="1336"/>
    <cellStyle name="20% - Accent2 2 3 2 3 2 2 2 2" xfId="1337"/>
    <cellStyle name="20% - Accent2 2 3 2 3 2 2 3" xfId="1338"/>
    <cellStyle name="20% - Accent2 2 3 2 3 2 3" xfId="1339"/>
    <cellStyle name="20% - Accent2 2 3 2 3 2 3 2" xfId="1340"/>
    <cellStyle name="20% - Accent2 2 3 2 3 2 4" xfId="1341"/>
    <cellStyle name="20% - Accent2 2 3 2 3 3" xfId="1342"/>
    <cellStyle name="20% - Accent2 2 3 2 3 3 2" xfId="1343"/>
    <cellStyle name="20% - Accent2 2 3 2 3 3 2 2" xfId="1344"/>
    <cellStyle name="20% - Accent2 2 3 2 3 3 3" xfId="1345"/>
    <cellStyle name="20% - Accent2 2 3 2 3 4" xfId="1346"/>
    <cellStyle name="20% - Accent2 2 3 2 3 4 2" xfId="1347"/>
    <cellStyle name="20% - Accent2 2 3 2 3 5" xfId="1348"/>
    <cellStyle name="20% - Accent2 2 3 2 4" xfId="1349"/>
    <cellStyle name="20% - Accent2 2 3 2 4 2" xfId="1350"/>
    <cellStyle name="20% - Accent2 2 3 2 4 2 2" xfId="1351"/>
    <cellStyle name="20% - Accent2 2 3 2 4 2 2 2" xfId="1352"/>
    <cellStyle name="20% - Accent2 2 3 2 4 2 3" xfId="1353"/>
    <cellStyle name="20% - Accent2 2 3 2 4 3" xfId="1354"/>
    <cellStyle name="20% - Accent2 2 3 2 4 3 2" xfId="1355"/>
    <cellStyle name="20% - Accent2 2 3 2 4 4" xfId="1356"/>
    <cellStyle name="20% - Accent2 2 3 2 5" xfId="1357"/>
    <cellStyle name="20% - Accent2 2 3 2 5 2" xfId="1358"/>
    <cellStyle name="20% - Accent2 2 3 2 5 2 2" xfId="1359"/>
    <cellStyle name="20% - Accent2 2 3 2 5 3" xfId="1360"/>
    <cellStyle name="20% - Accent2 2 3 2 6" xfId="1361"/>
    <cellStyle name="20% - Accent2 2 3 2 6 2" xfId="1362"/>
    <cellStyle name="20% - Accent2 2 3 2 7" xfId="1363"/>
    <cellStyle name="20% - Accent2 2 3 3" xfId="1364"/>
    <cellStyle name="20% - Accent2 2 3 3 2" xfId="1365"/>
    <cellStyle name="20% - Accent2 2 3 3 2 2" xfId="1366"/>
    <cellStyle name="20% - Accent2 2 3 3 2 2 2" xfId="1367"/>
    <cellStyle name="20% - Accent2 2 3 3 2 2 2 2" xfId="1368"/>
    <cellStyle name="20% - Accent2 2 3 3 2 2 2 2 2" xfId="1369"/>
    <cellStyle name="20% - Accent2 2 3 3 2 2 2 3" xfId="1370"/>
    <cellStyle name="20% - Accent2 2 3 3 2 2 3" xfId="1371"/>
    <cellStyle name="20% - Accent2 2 3 3 2 2 3 2" xfId="1372"/>
    <cellStyle name="20% - Accent2 2 3 3 2 2 4" xfId="1373"/>
    <cellStyle name="20% - Accent2 2 3 3 2 3" xfId="1374"/>
    <cellStyle name="20% - Accent2 2 3 3 2 3 2" xfId="1375"/>
    <cellStyle name="20% - Accent2 2 3 3 2 3 2 2" xfId="1376"/>
    <cellStyle name="20% - Accent2 2 3 3 2 3 3" xfId="1377"/>
    <cellStyle name="20% - Accent2 2 3 3 2 4" xfId="1378"/>
    <cellStyle name="20% - Accent2 2 3 3 2 4 2" xfId="1379"/>
    <cellStyle name="20% - Accent2 2 3 3 2 5" xfId="1380"/>
    <cellStyle name="20% - Accent2 2 3 3 3" xfId="1381"/>
    <cellStyle name="20% - Accent2 2 3 3 3 2" xfId="1382"/>
    <cellStyle name="20% - Accent2 2 3 3 3 2 2" xfId="1383"/>
    <cellStyle name="20% - Accent2 2 3 3 3 2 2 2" xfId="1384"/>
    <cellStyle name="20% - Accent2 2 3 3 3 2 3" xfId="1385"/>
    <cellStyle name="20% - Accent2 2 3 3 3 3" xfId="1386"/>
    <cellStyle name="20% - Accent2 2 3 3 3 3 2" xfId="1387"/>
    <cellStyle name="20% - Accent2 2 3 3 3 4" xfId="1388"/>
    <cellStyle name="20% - Accent2 2 3 3 4" xfId="1389"/>
    <cellStyle name="20% - Accent2 2 3 3 4 2" xfId="1390"/>
    <cellStyle name="20% - Accent2 2 3 3 4 2 2" xfId="1391"/>
    <cellStyle name="20% - Accent2 2 3 3 4 3" xfId="1392"/>
    <cellStyle name="20% - Accent2 2 3 3 5" xfId="1393"/>
    <cellStyle name="20% - Accent2 2 3 3 5 2" xfId="1394"/>
    <cellStyle name="20% - Accent2 2 3 3 6" xfId="1395"/>
    <cellStyle name="20% - Accent2 2 3 4" xfId="1396"/>
    <cellStyle name="20% - Accent2 2 3 4 2" xfId="1397"/>
    <cellStyle name="20% - Accent2 2 3 4 2 2" xfId="1398"/>
    <cellStyle name="20% - Accent2 2 3 4 2 2 2" xfId="1399"/>
    <cellStyle name="20% - Accent2 2 3 4 2 2 2 2" xfId="1400"/>
    <cellStyle name="20% - Accent2 2 3 4 2 2 3" xfId="1401"/>
    <cellStyle name="20% - Accent2 2 3 4 2 3" xfId="1402"/>
    <cellStyle name="20% - Accent2 2 3 4 2 3 2" xfId="1403"/>
    <cellStyle name="20% - Accent2 2 3 4 2 4" xfId="1404"/>
    <cellStyle name="20% - Accent2 2 3 4 3" xfId="1405"/>
    <cellStyle name="20% - Accent2 2 3 4 3 2" xfId="1406"/>
    <cellStyle name="20% - Accent2 2 3 4 3 2 2" xfId="1407"/>
    <cellStyle name="20% - Accent2 2 3 4 3 3" xfId="1408"/>
    <cellStyle name="20% - Accent2 2 3 4 4" xfId="1409"/>
    <cellStyle name="20% - Accent2 2 3 4 4 2" xfId="1410"/>
    <cellStyle name="20% - Accent2 2 3 4 5" xfId="1411"/>
    <cellStyle name="20% - Accent2 2 3 5" xfId="1412"/>
    <cellStyle name="20% - Accent2 2 3 5 2" xfId="1413"/>
    <cellStyle name="20% - Accent2 2 3 5 2 2" xfId="1414"/>
    <cellStyle name="20% - Accent2 2 3 5 2 2 2" xfId="1415"/>
    <cellStyle name="20% - Accent2 2 3 5 2 3" xfId="1416"/>
    <cellStyle name="20% - Accent2 2 3 5 3" xfId="1417"/>
    <cellStyle name="20% - Accent2 2 3 5 3 2" xfId="1418"/>
    <cellStyle name="20% - Accent2 2 3 5 4" xfId="1419"/>
    <cellStyle name="20% - Accent2 2 3 6" xfId="1420"/>
    <cellStyle name="20% - Accent2 2 3 6 2" xfId="1421"/>
    <cellStyle name="20% - Accent2 2 3 6 2 2" xfId="1422"/>
    <cellStyle name="20% - Accent2 2 3 6 3" xfId="1423"/>
    <cellStyle name="20% - Accent2 2 3 7" xfId="1424"/>
    <cellStyle name="20% - Accent2 2 3 7 2" xfId="1425"/>
    <cellStyle name="20% - Accent2 2 3 8" xfId="1426"/>
    <cellStyle name="20% - Accent2 2 4" xfId="1427"/>
    <cellStyle name="20% - Accent2 2 4 2" xfId="1428"/>
    <cellStyle name="20% - Accent2 2 4 2 2" xfId="1429"/>
    <cellStyle name="20% - Accent2 2 4 2 2 2" xfId="1430"/>
    <cellStyle name="20% - Accent2 2 4 2 2 2 2" xfId="1431"/>
    <cellStyle name="20% - Accent2 2 4 2 2 2 2 2" xfId="1432"/>
    <cellStyle name="20% - Accent2 2 4 2 2 2 2 2 2" xfId="1433"/>
    <cellStyle name="20% - Accent2 2 4 2 2 2 2 3" xfId="1434"/>
    <cellStyle name="20% - Accent2 2 4 2 2 2 3" xfId="1435"/>
    <cellStyle name="20% - Accent2 2 4 2 2 2 3 2" xfId="1436"/>
    <cellStyle name="20% - Accent2 2 4 2 2 2 4" xfId="1437"/>
    <cellStyle name="20% - Accent2 2 4 2 2 3" xfId="1438"/>
    <cellStyle name="20% - Accent2 2 4 2 2 3 2" xfId="1439"/>
    <cellStyle name="20% - Accent2 2 4 2 2 3 2 2" xfId="1440"/>
    <cellStyle name="20% - Accent2 2 4 2 2 3 3" xfId="1441"/>
    <cellStyle name="20% - Accent2 2 4 2 2 4" xfId="1442"/>
    <cellStyle name="20% - Accent2 2 4 2 2 4 2" xfId="1443"/>
    <cellStyle name="20% - Accent2 2 4 2 2 5" xfId="1444"/>
    <cellStyle name="20% - Accent2 2 4 2 3" xfId="1445"/>
    <cellStyle name="20% - Accent2 2 4 2 3 2" xfId="1446"/>
    <cellStyle name="20% - Accent2 2 4 2 3 2 2" xfId="1447"/>
    <cellStyle name="20% - Accent2 2 4 2 3 2 2 2" xfId="1448"/>
    <cellStyle name="20% - Accent2 2 4 2 3 2 3" xfId="1449"/>
    <cellStyle name="20% - Accent2 2 4 2 3 3" xfId="1450"/>
    <cellStyle name="20% - Accent2 2 4 2 3 3 2" xfId="1451"/>
    <cellStyle name="20% - Accent2 2 4 2 3 4" xfId="1452"/>
    <cellStyle name="20% - Accent2 2 4 2 4" xfId="1453"/>
    <cellStyle name="20% - Accent2 2 4 2 4 2" xfId="1454"/>
    <cellStyle name="20% - Accent2 2 4 2 4 2 2" xfId="1455"/>
    <cellStyle name="20% - Accent2 2 4 2 4 3" xfId="1456"/>
    <cellStyle name="20% - Accent2 2 4 2 5" xfId="1457"/>
    <cellStyle name="20% - Accent2 2 4 2 5 2" xfId="1458"/>
    <cellStyle name="20% - Accent2 2 4 2 6" xfId="1459"/>
    <cellStyle name="20% - Accent2 2 4 3" xfId="1460"/>
    <cellStyle name="20% - Accent2 2 4 3 2" xfId="1461"/>
    <cellStyle name="20% - Accent2 2 4 3 2 2" xfId="1462"/>
    <cellStyle name="20% - Accent2 2 4 3 2 2 2" xfId="1463"/>
    <cellStyle name="20% - Accent2 2 4 3 2 2 2 2" xfId="1464"/>
    <cellStyle name="20% - Accent2 2 4 3 2 2 3" xfId="1465"/>
    <cellStyle name="20% - Accent2 2 4 3 2 3" xfId="1466"/>
    <cellStyle name="20% - Accent2 2 4 3 2 3 2" xfId="1467"/>
    <cellStyle name="20% - Accent2 2 4 3 2 4" xfId="1468"/>
    <cellStyle name="20% - Accent2 2 4 3 3" xfId="1469"/>
    <cellStyle name="20% - Accent2 2 4 3 3 2" xfId="1470"/>
    <cellStyle name="20% - Accent2 2 4 3 3 2 2" xfId="1471"/>
    <cellStyle name="20% - Accent2 2 4 3 3 3" xfId="1472"/>
    <cellStyle name="20% - Accent2 2 4 3 4" xfId="1473"/>
    <cellStyle name="20% - Accent2 2 4 3 4 2" xfId="1474"/>
    <cellStyle name="20% - Accent2 2 4 3 5" xfId="1475"/>
    <cellStyle name="20% - Accent2 2 4 4" xfId="1476"/>
    <cellStyle name="20% - Accent2 2 4 4 2" xfId="1477"/>
    <cellStyle name="20% - Accent2 2 4 4 2 2" xfId="1478"/>
    <cellStyle name="20% - Accent2 2 4 4 2 2 2" xfId="1479"/>
    <cellStyle name="20% - Accent2 2 4 4 2 3" xfId="1480"/>
    <cellStyle name="20% - Accent2 2 4 4 3" xfId="1481"/>
    <cellStyle name="20% - Accent2 2 4 4 3 2" xfId="1482"/>
    <cellStyle name="20% - Accent2 2 4 4 4" xfId="1483"/>
    <cellStyle name="20% - Accent2 2 4 5" xfId="1484"/>
    <cellStyle name="20% - Accent2 2 4 5 2" xfId="1485"/>
    <cellStyle name="20% - Accent2 2 4 5 2 2" xfId="1486"/>
    <cellStyle name="20% - Accent2 2 4 5 3" xfId="1487"/>
    <cellStyle name="20% - Accent2 2 4 6" xfId="1488"/>
    <cellStyle name="20% - Accent2 2 4 6 2" xfId="1489"/>
    <cellStyle name="20% - Accent2 2 4 7" xfId="1490"/>
    <cellStyle name="20% - Accent2 2 5" xfId="1491"/>
    <cellStyle name="20% - Accent2 2 5 2" xfId="1492"/>
    <cellStyle name="20% - Accent2 2 5 2 2" xfId="1493"/>
    <cellStyle name="20% - Accent2 2 5 2 2 2" xfId="1494"/>
    <cellStyle name="20% - Accent2 2 5 2 2 2 2" xfId="1495"/>
    <cellStyle name="20% - Accent2 2 5 2 2 2 2 2" xfId="1496"/>
    <cellStyle name="20% - Accent2 2 5 2 2 2 3" xfId="1497"/>
    <cellStyle name="20% - Accent2 2 5 2 2 3" xfId="1498"/>
    <cellStyle name="20% - Accent2 2 5 2 2 3 2" xfId="1499"/>
    <cellStyle name="20% - Accent2 2 5 2 2 4" xfId="1500"/>
    <cellStyle name="20% - Accent2 2 5 2 3" xfId="1501"/>
    <cellStyle name="20% - Accent2 2 5 2 3 2" xfId="1502"/>
    <cellStyle name="20% - Accent2 2 5 2 3 2 2" xfId="1503"/>
    <cellStyle name="20% - Accent2 2 5 2 3 3" xfId="1504"/>
    <cellStyle name="20% - Accent2 2 5 2 4" xfId="1505"/>
    <cellStyle name="20% - Accent2 2 5 2 4 2" xfId="1506"/>
    <cellStyle name="20% - Accent2 2 5 2 5" xfId="1507"/>
    <cellStyle name="20% - Accent2 2 5 3" xfId="1508"/>
    <cellStyle name="20% - Accent2 2 5 3 2" xfId="1509"/>
    <cellStyle name="20% - Accent2 2 5 3 2 2" xfId="1510"/>
    <cellStyle name="20% - Accent2 2 5 3 2 2 2" xfId="1511"/>
    <cellStyle name="20% - Accent2 2 5 3 2 3" xfId="1512"/>
    <cellStyle name="20% - Accent2 2 5 3 3" xfId="1513"/>
    <cellStyle name="20% - Accent2 2 5 3 3 2" xfId="1514"/>
    <cellStyle name="20% - Accent2 2 5 3 4" xfId="1515"/>
    <cellStyle name="20% - Accent2 2 5 4" xfId="1516"/>
    <cellStyle name="20% - Accent2 2 5 4 2" xfId="1517"/>
    <cellStyle name="20% - Accent2 2 5 4 2 2" xfId="1518"/>
    <cellStyle name="20% - Accent2 2 5 4 3" xfId="1519"/>
    <cellStyle name="20% - Accent2 2 5 5" xfId="1520"/>
    <cellStyle name="20% - Accent2 2 5 5 2" xfId="1521"/>
    <cellStyle name="20% - Accent2 2 5 6" xfId="1522"/>
    <cellStyle name="20% - Accent2 2 6" xfId="1523"/>
    <cellStyle name="20% - Accent2 2 6 2" xfId="1524"/>
    <cellStyle name="20% - Accent2 2 6 2 2" xfId="1525"/>
    <cellStyle name="20% - Accent2 2 6 2 2 2" xfId="1526"/>
    <cellStyle name="20% - Accent2 2 6 2 2 2 2" xfId="1527"/>
    <cellStyle name="20% - Accent2 2 6 2 2 3" xfId="1528"/>
    <cellStyle name="20% - Accent2 2 6 2 3" xfId="1529"/>
    <cellStyle name="20% - Accent2 2 6 2 3 2" xfId="1530"/>
    <cellStyle name="20% - Accent2 2 6 2 4" xfId="1531"/>
    <cellStyle name="20% - Accent2 2 6 3" xfId="1532"/>
    <cellStyle name="20% - Accent2 2 6 3 2" xfId="1533"/>
    <cellStyle name="20% - Accent2 2 6 3 2 2" xfId="1534"/>
    <cellStyle name="20% - Accent2 2 6 3 3" xfId="1535"/>
    <cellStyle name="20% - Accent2 2 6 4" xfId="1536"/>
    <cellStyle name="20% - Accent2 2 6 4 2" xfId="1537"/>
    <cellStyle name="20% - Accent2 2 6 5" xfId="1538"/>
    <cellStyle name="20% - Accent2 2 7" xfId="1539"/>
    <cellStyle name="20% - Accent2 2 7 2" xfId="1540"/>
    <cellStyle name="20% - Accent2 2 7 2 2" xfId="1541"/>
    <cellStyle name="20% - Accent2 2 7 2 2 2" xfId="1542"/>
    <cellStyle name="20% - Accent2 2 7 2 3" xfId="1543"/>
    <cellStyle name="20% - Accent2 2 7 3" xfId="1544"/>
    <cellStyle name="20% - Accent2 2 7 3 2" xfId="1545"/>
    <cellStyle name="20% - Accent2 2 7 4" xfId="1546"/>
    <cellStyle name="20% - Accent2 2 8" xfId="1547"/>
    <cellStyle name="20% - Accent2 2 8 2" xfId="1548"/>
    <cellStyle name="20% - Accent2 2 8 2 2" xfId="1549"/>
    <cellStyle name="20% - Accent2 2 8 3" xfId="1550"/>
    <cellStyle name="20% - Accent2 2 9" xfId="1551"/>
    <cellStyle name="20% - Accent2 2 9 2" xfId="1552"/>
    <cellStyle name="20% - Accent2 3" xfId="1553"/>
    <cellStyle name="20% - Accent2 3 2" xfId="1554"/>
    <cellStyle name="20% - Accent2 3 2 2" xfId="1555"/>
    <cellStyle name="20% - Accent2 3 2 2 2" xfId="1556"/>
    <cellStyle name="20% - Accent2 3 2 2 2 2" xfId="1557"/>
    <cellStyle name="20% - Accent2 3 2 2 2 2 2" xfId="1558"/>
    <cellStyle name="20% - Accent2 3 2 2 2 2 2 2" xfId="1559"/>
    <cellStyle name="20% - Accent2 3 2 2 2 2 2 2 2" xfId="1560"/>
    <cellStyle name="20% - Accent2 3 2 2 2 2 2 2 2 2" xfId="1561"/>
    <cellStyle name="20% - Accent2 3 2 2 2 2 2 2 3" xfId="1562"/>
    <cellStyle name="20% - Accent2 3 2 2 2 2 2 3" xfId="1563"/>
    <cellStyle name="20% - Accent2 3 2 2 2 2 2 3 2" xfId="1564"/>
    <cellStyle name="20% - Accent2 3 2 2 2 2 2 4" xfId="1565"/>
    <cellStyle name="20% - Accent2 3 2 2 2 2 3" xfId="1566"/>
    <cellStyle name="20% - Accent2 3 2 2 2 2 3 2" xfId="1567"/>
    <cellStyle name="20% - Accent2 3 2 2 2 2 3 2 2" xfId="1568"/>
    <cellStyle name="20% - Accent2 3 2 2 2 2 3 3" xfId="1569"/>
    <cellStyle name="20% - Accent2 3 2 2 2 2 4" xfId="1570"/>
    <cellStyle name="20% - Accent2 3 2 2 2 2 4 2" xfId="1571"/>
    <cellStyle name="20% - Accent2 3 2 2 2 2 5" xfId="1572"/>
    <cellStyle name="20% - Accent2 3 2 2 2 3" xfId="1573"/>
    <cellStyle name="20% - Accent2 3 2 2 2 3 2" xfId="1574"/>
    <cellStyle name="20% - Accent2 3 2 2 2 3 2 2" xfId="1575"/>
    <cellStyle name="20% - Accent2 3 2 2 2 3 2 2 2" xfId="1576"/>
    <cellStyle name="20% - Accent2 3 2 2 2 3 2 3" xfId="1577"/>
    <cellStyle name="20% - Accent2 3 2 2 2 3 3" xfId="1578"/>
    <cellStyle name="20% - Accent2 3 2 2 2 3 3 2" xfId="1579"/>
    <cellStyle name="20% - Accent2 3 2 2 2 3 4" xfId="1580"/>
    <cellStyle name="20% - Accent2 3 2 2 2 4" xfId="1581"/>
    <cellStyle name="20% - Accent2 3 2 2 2 4 2" xfId="1582"/>
    <cellStyle name="20% - Accent2 3 2 2 2 4 2 2" xfId="1583"/>
    <cellStyle name="20% - Accent2 3 2 2 2 4 3" xfId="1584"/>
    <cellStyle name="20% - Accent2 3 2 2 2 5" xfId="1585"/>
    <cellStyle name="20% - Accent2 3 2 2 2 5 2" xfId="1586"/>
    <cellStyle name="20% - Accent2 3 2 2 2 6" xfId="1587"/>
    <cellStyle name="20% - Accent2 3 2 2 3" xfId="1588"/>
    <cellStyle name="20% - Accent2 3 2 2 3 2" xfId="1589"/>
    <cellStyle name="20% - Accent2 3 2 2 3 2 2" xfId="1590"/>
    <cellStyle name="20% - Accent2 3 2 2 3 2 2 2" xfId="1591"/>
    <cellStyle name="20% - Accent2 3 2 2 3 2 2 2 2" xfId="1592"/>
    <cellStyle name="20% - Accent2 3 2 2 3 2 2 3" xfId="1593"/>
    <cellStyle name="20% - Accent2 3 2 2 3 2 3" xfId="1594"/>
    <cellStyle name="20% - Accent2 3 2 2 3 2 3 2" xfId="1595"/>
    <cellStyle name="20% - Accent2 3 2 2 3 2 4" xfId="1596"/>
    <cellStyle name="20% - Accent2 3 2 2 3 3" xfId="1597"/>
    <cellStyle name="20% - Accent2 3 2 2 3 3 2" xfId="1598"/>
    <cellStyle name="20% - Accent2 3 2 2 3 3 2 2" xfId="1599"/>
    <cellStyle name="20% - Accent2 3 2 2 3 3 3" xfId="1600"/>
    <cellStyle name="20% - Accent2 3 2 2 3 4" xfId="1601"/>
    <cellStyle name="20% - Accent2 3 2 2 3 4 2" xfId="1602"/>
    <cellStyle name="20% - Accent2 3 2 2 3 5" xfId="1603"/>
    <cellStyle name="20% - Accent2 3 2 2 4" xfId="1604"/>
    <cellStyle name="20% - Accent2 3 2 2 4 2" xfId="1605"/>
    <cellStyle name="20% - Accent2 3 2 2 4 2 2" xfId="1606"/>
    <cellStyle name="20% - Accent2 3 2 2 4 2 2 2" xfId="1607"/>
    <cellStyle name="20% - Accent2 3 2 2 4 2 3" xfId="1608"/>
    <cellStyle name="20% - Accent2 3 2 2 4 3" xfId="1609"/>
    <cellStyle name="20% - Accent2 3 2 2 4 3 2" xfId="1610"/>
    <cellStyle name="20% - Accent2 3 2 2 4 4" xfId="1611"/>
    <cellStyle name="20% - Accent2 3 2 2 5" xfId="1612"/>
    <cellStyle name="20% - Accent2 3 2 2 5 2" xfId="1613"/>
    <cellStyle name="20% - Accent2 3 2 2 5 2 2" xfId="1614"/>
    <cellStyle name="20% - Accent2 3 2 2 5 3" xfId="1615"/>
    <cellStyle name="20% - Accent2 3 2 2 6" xfId="1616"/>
    <cellStyle name="20% - Accent2 3 2 2 6 2" xfId="1617"/>
    <cellStyle name="20% - Accent2 3 2 2 7" xfId="1618"/>
    <cellStyle name="20% - Accent2 3 2 3" xfId="1619"/>
    <cellStyle name="20% - Accent2 3 2 3 2" xfId="1620"/>
    <cellStyle name="20% - Accent2 3 2 3 2 2" xfId="1621"/>
    <cellStyle name="20% - Accent2 3 2 3 2 2 2" xfId="1622"/>
    <cellStyle name="20% - Accent2 3 2 3 2 2 2 2" xfId="1623"/>
    <cellStyle name="20% - Accent2 3 2 3 2 2 2 2 2" xfId="1624"/>
    <cellStyle name="20% - Accent2 3 2 3 2 2 2 3" xfId="1625"/>
    <cellStyle name="20% - Accent2 3 2 3 2 2 3" xfId="1626"/>
    <cellStyle name="20% - Accent2 3 2 3 2 2 3 2" xfId="1627"/>
    <cellStyle name="20% - Accent2 3 2 3 2 2 4" xfId="1628"/>
    <cellStyle name="20% - Accent2 3 2 3 2 3" xfId="1629"/>
    <cellStyle name="20% - Accent2 3 2 3 2 3 2" xfId="1630"/>
    <cellStyle name="20% - Accent2 3 2 3 2 3 2 2" xfId="1631"/>
    <cellStyle name="20% - Accent2 3 2 3 2 3 3" xfId="1632"/>
    <cellStyle name="20% - Accent2 3 2 3 2 4" xfId="1633"/>
    <cellStyle name="20% - Accent2 3 2 3 2 4 2" xfId="1634"/>
    <cellStyle name="20% - Accent2 3 2 3 2 5" xfId="1635"/>
    <cellStyle name="20% - Accent2 3 2 3 3" xfId="1636"/>
    <cellStyle name="20% - Accent2 3 2 3 3 2" xfId="1637"/>
    <cellStyle name="20% - Accent2 3 2 3 3 2 2" xfId="1638"/>
    <cellStyle name="20% - Accent2 3 2 3 3 2 2 2" xfId="1639"/>
    <cellStyle name="20% - Accent2 3 2 3 3 2 3" xfId="1640"/>
    <cellStyle name="20% - Accent2 3 2 3 3 3" xfId="1641"/>
    <cellStyle name="20% - Accent2 3 2 3 3 3 2" xfId="1642"/>
    <cellStyle name="20% - Accent2 3 2 3 3 4" xfId="1643"/>
    <cellStyle name="20% - Accent2 3 2 3 4" xfId="1644"/>
    <cellStyle name="20% - Accent2 3 2 3 4 2" xfId="1645"/>
    <cellStyle name="20% - Accent2 3 2 3 4 2 2" xfId="1646"/>
    <cellStyle name="20% - Accent2 3 2 3 4 3" xfId="1647"/>
    <cellStyle name="20% - Accent2 3 2 3 5" xfId="1648"/>
    <cellStyle name="20% - Accent2 3 2 3 5 2" xfId="1649"/>
    <cellStyle name="20% - Accent2 3 2 3 6" xfId="1650"/>
    <cellStyle name="20% - Accent2 3 2 4" xfId="1651"/>
    <cellStyle name="20% - Accent2 3 2 4 2" xfId="1652"/>
    <cellStyle name="20% - Accent2 3 2 4 2 2" xfId="1653"/>
    <cellStyle name="20% - Accent2 3 2 4 2 2 2" xfId="1654"/>
    <cellStyle name="20% - Accent2 3 2 4 2 2 2 2" xfId="1655"/>
    <cellStyle name="20% - Accent2 3 2 4 2 2 3" xfId="1656"/>
    <cellStyle name="20% - Accent2 3 2 4 2 3" xfId="1657"/>
    <cellStyle name="20% - Accent2 3 2 4 2 3 2" xfId="1658"/>
    <cellStyle name="20% - Accent2 3 2 4 2 4" xfId="1659"/>
    <cellStyle name="20% - Accent2 3 2 4 3" xfId="1660"/>
    <cellStyle name="20% - Accent2 3 2 4 3 2" xfId="1661"/>
    <cellStyle name="20% - Accent2 3 2 4 3 2 2" xfId="1662"/>
    <cellStyle name="20% - Accent2 3 2 4 3 3" xfId="1663"/>
    <cellStyle name="20% - Accent2 3 2 4 4" xfId="1664"/>
    <cellStyle name="20% - Accent2 3 2 4 4 2" xfId="1665"/>
    <cellStyle name="20% - Accent2 3 2 4 5" xfId="1666"/>
    <cellStyle name="20% - Accent2 3 2 5" xfId="1667"/>
    <cellStyle name="20% - Accent2 3 2 5 2" xfId="1668"/>
    <cellStyle name="20% - Accent2 3 2 5 2 2" xfId="1669"/>
    <cellStyle name="20% - Accent2 3 2 5 2 2 2" xfId="1670"/>
    <cellStyle name="20% - Accent2 3 2 5 2 3" xfId="1671"/>
    <cellStyle name="20% - Accent2 3 2 5 3" xfId="1672"/>
    <cellStyle name="20% - Accent2 3 2 5 3 2" xfId="1673"/>
    <cellStyle name="20% - Accent2 3 2 5 4" xfId="1674"/>
    <cellStyle name="20% - Accent2 3 2 6" xfId="1675"/>
    <cellStyle name="20% - Accent2 3 2 6 2" xfId="1676"/>
    <cellStyle name="20% - Accent2 3 2 6 2 2" xfId="1677"/>
    <cellStyle name="20% - Accent2 3 2 6 3" xfId="1678"/>
    <cellStyle name="20% - Accent2 3 2 7" xfId="1679"/>
    <cellStyle name="20% - Accent2 3 2 7 2" xfId="1680"/>
    <cellStyle name="20% - Accent2 3 2 8" xfId="1681"/>
    <cellStyle name="20% - Accent2 3 3" xfId="1682"/>
    <cellStyle name="20% - Accent2 3 3 2" xfId="1683"/>
    <cellStyle name="20% - Accent2 3 3 2 2" xfId="1684"/>
    <cellStyle name="20% - Accent2 3 3 2 2 2" xfId="1685"/>
    <cellStyle name="20% - Accent2 3 3 2 2 2 2" xfId="1686"/>
    <cellStyle name="20% - Accent2 3 3 2 2 2 2 2" xfId="1687"/>
    <cellStyle name="20% - Accent2 3 3 2 2 2 2 2 2" xfId="1688"/>
    <cellStyle name="20% - Accent2 3 3 2 2 2 2 3" xfId="1689"/>
    <cellStyle name="20% - Accent2 3 3 2 2 2 3" xfId="1690"/>
    <cellStyle name="20% - Accent2 3 3 2 2 2 3 2" xfId="1691"/>
    <cellStyle name="20% - Accent2 3 3 2 2 2 4" xfId="1692"/>
    <cellStyle name="20% - Accent2 3 3 2 2 3" xfId="1693"/>
    <cellStyle name="20% - Accent2 3 3 2 2 3 2" xfId="1694"/>
    <cellStyle name="20% - Accent2 3 3 2 2 3 2 2" xfId="1695"/>
    <cellStyle name="20% - Accent2 3 3 2 2 3 3" xfId="1696"/>
    <cellStyle name="20% - Accent2 3 3 2 2 4" xfId="1697"/>
    <cellStyle name="20% - Accent2 3 3 2 2 4 2" xfId="1698"/>
    <cellStyle name="20% - Accent2 3 3 2 2 5" xfId="1699"/>
    <cellStyle name="20% - Accent2 3 3 2 3" xfId="1700"/>
    <cellStyle name="20% - Accent2 3 3 2 3 2" xfId="1701"/>
    <cellStyle name="20% - Accent2 3 3 2 3 2 2" xfId="1702"/>
    <cellStyle name="20% - Accent2 3 3 2 3 2 2 2" xfId="1703"/>
    <cellStyle name="20% - Accent2 3 3 2 3 2 3" xfId="1704"/>
    <cellStyle name="20% - Accent2 3 3 2 3 3" xfId="1705"/>
    <cellStyle name="20% - Accent2 3 3 2 3 3 2" xfId="1706"/>
    <cellStyle name="20% - Accent2 3 3 2 3 4" xfId="1707"/>
    <cellStyle name="20% - Accent2 3 3 2 4" xfId="1708"/>
    <cellStyle name="20% - Accent2 3 3 2 4 2" xfId="1709"/>
    <cellStyle name="20% - Accent2 3 3 2 4 2 2" xfId="1710"/>
    <cellStyle name="20% - Accent2 3 3 2 4 3" xfId="1711"/>
    <cellStyle name="20% - Accent2 3 3 2 5" xfId="1712"/>
    <cellStyle name="20% - Accent2 3 3 2 5 2" xfId="1713"/>
    <cellStyle name="20% - Accent2 3 3 2 6" xfId="1714"/>
    <cellStyle name="20% - Accent2 3 3 3" xfId="1715"/>
    <cellStyle name="20% - Accent2 3 3 3 2" xfId="1716"/>
    <cellStyle name="20% - Accent2 3 3 3 2 2" xfId="1717"/>
    <cellStyle name="20% - Accent2 3 3 3 2 2 2" xfId="1718"/>
    <cellStyle name="20% - Accent2 3 3 3 2 2 2 2" xfId="1719"/>
    <cellStyle name="20% - Accent2 3 3 3 2 2 3" xfId="1720"/>
    <cellStyle name="20% - Accent2 3 3 3 2 3" xfId="1721"/>
    <cellStyle name="20% - Accent2 3 3 3 2 3 2" xfId="1722"/>
    <cellStyle name="20% - Accent2 3 3 3 2 4" xfId="1723"/>
    <cellStyle name="20% - Accent2 3 3 3 3" xfId="1724"/>
    <cellStyle name="20% - Accent2 3 3 3 3 2" xfId="1725"/>
    <cellStyle name="20% - Accent2 3 3 3 3 2 2" xfId="1726"/>
    <cellStyle name="20% - Accent2 3 3 3 3 3" xfId="1727"/>
    <cellStyle name="20% - Accent2 3 3 3 4" xfId="1728"/>
    <cellStyle name="20% - Accent2 3 3 3 4 2" xfId="1729"/>
    <cellStyle name="20% - Accent2 3 3 3 5" xfId="1730"/>
    <cellStyle name="20% - Accent2 3 3 4" xfId="1731"/>
    <cellStyle name="20% - Accent2 3 3 4 2" xfId="1732"/>
    <cellStyle name="20% - Accent2 3 3 4 2 2" xfId="1733"/>
    <cellStyle name="20% - Accent2 3 3 4 2 2 2" xfId="1734"/>
    <cellStyle name="20% - Accent2 3 3 4 2 3" xfId="1735"/>
    <cellStyle name="20% - Accent2 3 3 4 3" xfId="1736"/>
    <cellStyle name="20% - Accent2 3 3 4 3 2" xfId="1737"/>
    <cellStyle name="20% - Accent2 3 3 4 4" xfId="1738"/>
    <cellStyle name="20% - Accent2 3 3 5" xfId="1739"/>
    <cellStyle name="20% - Accent2 3 3 5 2" xfId="1740"/>
    <cellStyle name="20% - Accent2 3 3 5 2 2" xfId="1741"/>
    <cellStyle name="20% - Accent2 3 3 5 3" xfId="1742"/>
    <cellStyle name="20% - Accent2 3 3 6" xfId="1743"/>
    <cellStyle name="20% - Accent2 3 3 6 2" xfId="1744"/>
    <cellStyle name="20% - Accent2 3 3 7" xfId="1745"/>
    <cellStyle name="20% - Accent2 3 4" xfId="1746"/>
    <cellStyle name="20% - Accent2 3 4 2" xfId="1747"/>
    <cellStyle name="20% - Accent2 3 4 2 2" xfId="1748"/>
    <cellStyle name="20% - Accent2 3 4 2 2 2" xfId="1749"/>
    <cellStyle name="20% - Accent2 3 4 2 2 2 2" xfId="1750"/>
    <cellStyle name="20% - Accent2 3 4 2 2 2 2 2" xfId="1751"/>
    <cellStyle name="20% - Accent2 3 4 2 2 2 3" xfId="1752"/>
    <cellStyle name="20% - Accent2 3 4 2 2 3" xfId="1753"/>
    <cellStyle name="20% - Accent2 3 4 2 2 3 2" xfId="1754"/>
    <cellStyle name="20% - Accent2 3 4 2 2 4" xfId="1755"/>
    <cellStyle name="20% - Accent2 3 4 2 3" xfId="1756"/>
    <cellStyle name="20% - Accent2 3 4 2 3 2" xfId="1757"/>
    <cellStyle name="20% - Accent2 3 4 2 3 2 2" xfId="1758"/>
    <cellStyle name="20% - Accent2 3 4 2 3 3" xfId="1759"/>
    <cellStyle name="20% - Accent2 3 4 2 4" xfId="1760"/>
    <cellStyle name="20% - Accent2 3 4 2 4 2" xfId="1761"/>
    <cellStyle name="20% - Accent2 3 4 2 5" xfId="1762"/>
    <cellStyle name="20% - Accent2 3 4 3" xfId="1763"/>
    <cellStyle name="20% - Accent2 3 4 3 2" xfId="1764"/>
    <cellStyle name="20% - Accent2 3 4 3 2 2" xfId="1765"/>
    <cellStyle name="20% - Accent2 3 4 3 2 2 2" xfId="1766"/>
    <cellStyle name="20% - Accent2 3 4 3 2 3" xfId="1767"/>
    <cellStyle name="20% - Accent2 3 4 3 3" xfId="1768"/>
    <cellStyle name="20% - Accent2 3 4 3 3 2" xfId="1769"/>
    <cellStyle name="20% - Accent2 3 4 3 4" xfId="1770"/>
    <cellStyle name="20% - Accent2 3 4 4" xfId="1771"/>
    <cellStyle name="20% - Accent2 3 4 4 2" xfId="1772"/>
    <cellStyle name="20% - Accent2 3 4 4 2 2" xfId="1773"/>
    <cellStyle name="20% - Accent2 3 4 4 3" xfId="1774"/>
    <cellStyle name="20% - Accent2 3 4 5" xfId="1775"/>
    <cellStyle name="20% - Accent2 3 4 5 2" xfId="1776"/>
    <cellStyle name="20% - Accent2 3 4 6" xfId="1777"/>
    <cellStyle name="20% - Accent2 3 5" xfId="1778"/>
    <cellStyle name="20% - Accent2 3 5 2" xfId="1779"/>
    <cellStyle name="20% - Accent2 3 5 2 2" xfId="1780"/>
    <cellStyle name="20% - Accent2 3 5 2 2 2" xfId="1781"/>
    <cellStyle name="20% - Accent2 3 5 2 2 2 2" xfId="1782"/>
    <cellStyle name="20% - Accent2 3 5 2 2 3" xfId="1783"/>
    <cellStyle name="20% - Accent2 3 5 2 3" xfId="1784"/>
    <cellStyle name="20% - Accent2 3 5 2 3 2" xfId="1785"/>
    <cellStyle name="20% - Accent2 3 5 2 4" xfId="1786"/>
    <cellStyle name="20% - Accent2 3 5 3" xfId="1787"/>
    <cellStyle name="20% - Accent2 3 5 3 2" xfId="1788"/>
    <cellStyle name="20% - Accent2 3 5 3 2 2" xfId="1789"/>
    <cellStyle name="20% - Accent2 3 5 3 3" xfId="1790"/>
    <cellStyle name="20% - Accent2 3 5 4" xfId="1791"/>
    <cellStyle name="20% - Accent2 3 5 4 2" xfId="1792"/>
    <cellStyle name="20% - Accent2 3 5 5" xfId="1793"/>
    <cellStyle name="20% - Accent2 3 6" xfId="1794"/>
    <cellStyle name="20% - Accent2 3 6 2" xfId="1795"/>
    <cellStyle name="20% - Accent2 3 6 2 2" xfId="1796"/>
    <cellStyle name="20% - Accent2 3 6 2 2 2" xfId="1797"/>
    <cellStyle name="20% - Accent2 3 6 2 3" xfId="1798"/>
    <cellStyle name="20% - Accent2 3 6 3" xfId="1799"/>
    <cellStyle name="20% - Accent2 3 6 3 2" xfId="1800"/>
    <cellStyle name="20% - Accent2 3 6 4" xfId="1801"/>
    <cellStyle name="20% - Accent2 3 7" xfId="1802"/>
    <cellStyle name="20% - Accent2 3 7 2" xfId="1803"/>
    <cellStyle name="20% - Accent2 3 7 2 2" xfId="1804"/>
    <cellStyle name="20% - Accent2 3 7 3" xfId="1805"/>
    <cellStyle name="20% - Accent2 3 8" xfId="1806"/>
    <cellStyle name="20% - Accent2 3 8 2" xfId="1807"/>
    <cellStyle name="20% - Accent2 3 9" xfId="1808"/>
    <cellStyle name="20% - Accent2 4" xfId="1809"/>
    <cellStyle name="20% - Accent2 4 2" xfId="1810"/>
    <cellStyle name="20% - Accent2 4 2 2" xfId="1811"/>
    <cellStyle name="20% - Accent2 4 2 2 2" xfId="1812"/>
    <cellStyle name="20% - Accent2 4 2 2 2 2" xfId="1813"/>
    <cellStyle name="20% - Accent2 4 2 2 2 2 2" xfId="1814"/>
    <cellStyle name="20% - Accent2 4 2 2 2 2 2 2" xfId="1815"/>
    <cellStyle name="20% - Accent2 4 2 2 2 2 2 2 2" xfId="1816"/>
    <cellStyle name="20% - Accent2 4 2 2 2 2 2 3" xfId="1817"/>
    <cellStyle name="20% - Accent2 4 2 2 2 2 3" xfId="1818"/>
    <cellStyle name="20% - Accent2 4 2 2 2 2 3 2" xfId="1819"/>
    <cellStyle name="20% - Accent2 4 2 2 2 2 4" xfId="1820"/>
    <cellStyle name="20% - Accent2 4 2 2 2 3" xfId="1821"/>
    <cellStyle name="20% - Accent2 4 2 2 2 3 2" xfId="1822"/>
    <cellStyle name="20% - Accent2 4 2 2 2 3 2 2" xfId="1823"/>
    <cellStyle name="20% - Accent2 4 2 2 2 3 3" xfId="1824"/>
    <cellStyle name="20% - Accent2 4 2 2 2 4" xfId="1825"/>
    <cellStyle name="20% - Accent2 4 2 2 2 4 2" xfId="1826"/>
    <cellStyle name="20% - Accent2 4 2 2 2 5" xfId="1827"/>
    <cellStyle name="20% - Accent2 4 2 2 3" xfId="1828"/>
    <cellStyle name="20% - Accent2 4 2 2 3 2" xfId="1829"/>
    <cellStyle name="20% - Accent2 4 2 2 3 2 2" xfId="1830"/>
    <cellStyle name="20% - Accent2 4 2 2 3 2 2 2" xfId="1831"/>
    <cellStyle name="20% - Accent2 4 2 2 3 2 3" xfId="1832"/>
    <cellStyle name="20% - Accent2 4 2 2 3 3" xfId="1833"/>
    <cellStyle name="20% - Accent2 4 2 2 3 3 2" xfId="1834"/>
    <cellStyle name="20% - Accent2 4 2 2 3 4" xfId="1835"/>
    <cellStyle name="20% - Accent2 4 2 2 4" xfId="1836"/>
    <cellStyle name="20% - Accent2 4 2 2 4 2" xfId="1837"/>
    <cellStyle name="20% - Accent2 4 2 2 4 2 2" xfId="1838"/>
    <cellStyle name="20% - Accent2 4 2 2 4 3" xfId="1839"/>
    <cellStyle name="20% - Accent2 4 2 2 5" xfId="1840"/>
    <cellStyle name="20% - Accent2 4 2 2 5 2" xfId="1841"/>
    <cellStyle name="20% - Accent2 4 2 2 6" xfId="1842"/>
    <cellStyle name="20% - Accent2 4 2 3" xfId="1843"/>
    <cellStyle name="20% - Accent2 4 2 3 2" xfId="1844"/>
    <cellStyle name="20% - Accent2 4 2 3 2 2" xfId="1845"/>
    <cellStyle name="20% - Accent2 4 2 3 2 2 2" xfId="1846"/>
    <cellStyle name="20% - Accent2 4 2 3 2 2 2 2" xfId="1847"/>
    <cellStyle name="20% - Accent2 4 2 3 2 2 3" xfId="1848"/>
    <cellStyle name="20% - Accent2 4 2 3 2 3" xfId="1849"/>
    <cellStyle name="20% - Accent2 4 2 3 2 3 2" xfId="1850"/>
    <cellStyle name="20% - Accent2 4 2 3 2 4" xfId="1851"/>
    <cellStyle name="20% - Accent2 4 2 3 3" xfId="1852"/>
    <cellStyle name="20% - Accent2 4 2 3 3 2" xfId="1853"/>
    <cellStyle name="20% - Accent2 4 2 3 3 2 2" xfId="1854"/>
    <cellStyle name="20% - Accent2 4 2 3 3 3" xfId="1855"/>
    <cellStyle name="20% - Accent2 4 2 3 4" xfId="1856"/>
    <cellStyle name="20% - Accent2 4 2 3 4 2" xfId="1857"/>
    <cellStyle name="20% - Accent2 4 2 3 5" xfId="1858"/>
    <cellStyle name="20% - Accent2 4 2 4" xfId="1859"/>
    <cellStyle name="20% - Accent2 4 2 4 2" xfId="1860"/>
    <cellStyle name="20% - Accent2 4 2 4 2 2" xfId="1861"/>
    <cellStyle name="20% - Accent2 4 2 4 2 2 2" xfId="1862"/>
    <cellStyle name="20% - Accent2 4 2 4 2 3" xfId="1863"/>
    <cellStyle name="20% - Accent2 4 2 4 3" xfId="1864"/>
    <cellStyle name="20% - Accent2 4 2 4 3 2" xfId="1865"/>
    <cellStyle name="20% - Accent2 4 2 4 4" xfId="1866"/>
    <cellStyle name="20% - Accent2 4 2 5" xfId="1867"/>
    <cellStyle name="20% - Accent2 4 2 5 2" xfId="1868"/>
    <cellStyle name="20% - Accent2 4 2 5 2 2" xfId="1869"/>
    <cellStyle name="20% - Accent2 4 2 5 3" xfId="1870"/>
    <cellStyle name="20% - Accent2 4 2 6" xfId="1871"/>
    <cellStyle name="20% - Accent2 4 2 6 2" xfId="1872"/>
    <cellStyle name="20% - Accent2 4 2 7" xfId="1873"/>
    <cellStyle name="20% - Accent2 4 3" xfId="1874"/>
    <cellStyle name="20% - Accent2 4 3 2" xfId="1875"/>
    <cellStyle name="20% - Accent2 4 3 2 2" xfId="1876"/>
    <cellStyle name="20% - Accent2 4 3 2 2 2" xfId="1877"/>
    <cellStyle name="20% - Accent2 4 3 2 2 2 2" xfId="1878"/>
    <cellStyle name="20% - Accent2 4 3 2 2 2 2 2" xfId="1879"/>
    <cellStyle name="20% - Accent2 4 3 2 2 2 3" xfId="1880"/>
    <cellStyle name="20% - Accent2 4 3 2 2 3" xfId="1881"/>
    <cellStyle name="20% - Accent2 4 3 2 2 3 2" xfId="1882"/>
    <cellStyle name="20% - Accent2 4 3 2 2 4" xfId="1883"/>
    <cellStyle name="20% - Accent2 4 3 2 3" xfId="1884"/>
    <cellStyle name="20% - Accent2 4 3 2 3 2" xfId="1885"/>
    <cellStyle name="20% - Accent2 4 3 2 3 2 2" xfId="1886"/>
    <cellStyle name="20% - Accent2 4 3 2 3 3" xfId="1887"/>
    <cellStyle name="20% - Accent2 4 3 2 4" xfId="1888"/>
    <cellStyle name="20% - Accent2 4 3 2 4 2" xfId="1889"/>
    <cellStyle name="20% - Accent2 4 3 2 5" xfId="1890"/>
    <cellStyle name="20% - Accent2 4 3 3" xfId="1891"/>
    <cellStyle name="20% - Accent2 4 3 3 2" xfId="1892"/>
    <cellStyle name="20% - Accent2 4 3 3 2 2" xfId="1893"/>
    <cellStyle name="20% - Accent2 4 3 3 2 2 2" xfId="1894"/>
    <cellStyle name="20% - Accent2 4 3 3 2 3" xfId="1895"/>
    <cellStyle name="20% - Accent2 4 3 3 3" xfId="1896"/>
    <cellStyle name="20% - Accent2 4 3 3 3 2" xfId="1897"/>
    <cellStyle name="20% - Accent2 4 3 3 4" xfId="1898"/>
    <cellStyle name="20% - Accent2 4 3 4" xfId="1899"/>
    <cellStyle name="20% - Accent2 4 3 4 2" xfId="1900"/>
    <cellStyle name="20% - Accent2 4 3 4 2 2" xfId="1901"/>
    <cellStyle name="20% - Accent2 4 3 4 3" xfId="1902"/>
    <cellStyle name="20% - Accent2 4 3 5" xfId="1903"/>
    <cellStyle name="20% - Accent2 4 3 5 2" xfId="1904"/>
    <cellStyle name="20% - Accent2 4 3 6" xfId="1905"/>
    <cellStyle name="20% - Accent2 4 4" xfId="1906"/>
    <cellStyle name="20% - Accent2 4 4 2" xfId="1907"/>
    <cellStyle name="20% - Accent2 4 4 2 2" xfId="1908"/>
    <cellStyle name="20% - Accent2 4 4 2 2 2" xfId="1909"/>
    <cellStyle name="20% - Accent2 4 4 2 2 2 2" xfId="1910"/>
    <cellStyle name="20% - Accent2 4 4 2 2 3" xfId="1911"/>
    <cellStyle name="20% - Accent2 4 4 2 3" xfId="1912"/>
    <cellStyle name="20% - Accent2 4 4 2 3 2" xfId="1913"/>
    <cellStyle name="20% - Accent2 4 4 2 4" xfId="1914"/>
    <cellStyle name="20% - Accent2 4 4 3" xfId="1915"/>
    <cellStyle name="20% - Accent2 4 4 3 2" xfId="1916"/>
    <cellStyle name="20% - Accent2 4 4 3 2 2" xfId="1917"/>
    <cellStyle name="20% - Accent2 4 4 3 3" xfId="1918"/>
    <cellStyle name="20% - Accent2 4 4 4" xfId="1919"/>
    <cellStyle name="20% - Accent2 4 4 4 2" xfId="1920"/>
    <cellStyle name="20% - Accent2 4 4 5" xfId="1921"/>
    <cellStyle name="20% - Accent2 4 5" xfId="1922"/>
    <cellStyle name="20% - Accent2 4 5 2" xfId="1923"/>
    <cellStyle name="20% - Accent2 4 5 2 2" xfId="1924"/>
    <cellStyle name="20% - Accent2 4 5 2 2 2" xfId="1925"/>
    <cellStyle name="20% - Accent2 4 5 2 3" xfId="1926"/>
    <cellStyle name="20% - Accent2 4 5 3" xfId="1927"/>
    <cellStyle name="20% - Accent2 4 5 3 2" xfId="1928"/>
    <cellStyle name="20% - Accent2 4 5 4" xfId="1929"/>
    <cellStyle name="20% - Accent2 4 6" xfId="1930"/>
    <cellStyle name="20% - Accent2 4 6 2" xfId="1931"/>
    <cellStyle name="20% - Accent2 4 6 2 2" xfId="1932"/>
    <cellStyle name="20% - Accent2 4 6 3" xfId="1933"/>
    <cellStyle name="20% - Accent2 4 7" xfId="1934"/>
    <cellStyle name="20% - Accent2 4 7 2" xfId="1935"/>
    <cellStyle name="20% - Accent2 4 8" xfId="1936"/>
    <cellStyle name="20% - Accent2 5" xfId="1937"/>
    <cellStyle name="20% - Accent2 5 2" xfId="1938"/>
    <cellStyle name="20% - Accent2 5 2 2" xfId="1939"/>
    <cellStyle name="20% - Accent2 5 2 2 2" xfId="1940"/>
    <cellStyle name="20% - Accent2 5 2 2 2 2" xfId="1941"/>
    <cellStyle name="20% - Accent2 5 2 2 2 2 2" xfId="1942"/>
    <cellStyle name="20% - Accent2 5 2 2 2 2 2 2" xfId="1943"/>
    <cellStyle name="20% - Accent2 5 2 2 2 2 3" xfId="1944"/>
    <cellStyle name="20% - Accent2 5 2 2 2 3" xfId="1945"/>
    <cellStyle name="20% - Accent2 5 2 2 2 3 2" xfId="1946"/>
    <cellStyle name="20% - Accent2 5 2 2 2 4" xfId="1947"/>
    <cellStyle name="20% - Accent2 5 2 2 3" xfId="1948"/>
    <cellStyle name="20% - Accent2 5 2 2 3 2" xfId="1949"/>
    <cellStyle name="20% - Accent2 5 2 2 3 2 2" xfId="1950"/>
    <cellStyle name="20% - Accent2 5 2 2 3 3" xfId="1951"/>
    <cellStyle name="20% - Accent2 5 2 2 4" xfId="1952"/>
    <cellStyle name="20% - Accent2 5 2 2 4 2" xfId="1953"/>
    <cellStyle name="20% - Accent2 5 2 2 5" xfId="1954"/>
    <cellStyle name="20% - Accent2 5 2 3" xfId="1955"/>
    <cellStyle name="20% - Accent2 5 2 3 2" xfId="1956"/>
    <cellStyle name="20% - Accent2 5 2 3 2 2" xfId="1957"/>
    <cellStyle name="20% - Accent2 5 2 3 2 2 2" xfId="1958"/>
    <cellStyle name="20% - Accent2 5 2 3 2 3" xfId="1959"/>
    <cellStyle name="20% - Accent2 5 2 3 3" xfId="1960"/>
    <cellStyle name="20% - Accent2 5 2 3 3 2" xfId="1961"/>
    <cellStyle name="20% - Accent2 5 2 3 4" xfId="1962"/>
    <cellStyle name="20% - Accent2 5 2 4" xfId="1963"/>
    <cellStyle name="20% - Accent2 5 2 4 2" xfId="1964"/>
    <cellStyle name="20% - Accent2 5 2 4 2 2" xfId="1965"/>
    <cellStyle name="20% - Accent2 5 2 4 3" xfId="1966"/>
    <cellStyle name="20% - Accent2 5 2 5" xfId="1967"/>
    <cellStyle name="20% - Accent2 5 2 5 2" xfId="1968"/>
    <cellStyle name="20% - Accent2 5 2 6" xfId="1969"/>
    <cellStyle name="20% - Accent2 5 3" xfId="1970"/>
    <cellStyle name="20% - Accent2 5 3 2" xfId="1971"/>
    <cellStyle name="20% - Accent2 5 3 2 2" xfId="1972"/>
    <cellStyle name="20% - Accent2 5 3 2 2 2" xfId="1973"/>
    <cellStyle name="20% - Accent2 5 3 2 2 2 2" xfId="1974"/>
    <cellStyle name="20% - Accent2 5 3 2 2 3" xfId="1975"/>
    <cellStyle name="20% - Accent2 5 3 2 3" xfId="1976"/>
    <cellStyle name="20% - Accent2 5 3 2 3 2" xfId="1977"/>
    <cellStyle name="20% - Accent2 5 3 2 4" xfId="1978"/>
    <cellStyle name="20% - Accent2 5 3 3" xfId="1979"/>
    <cellStyle name="20% - Accent2 5 3 3 2" xfId="1980"/>
    <cellStyle name="20% - Accent2 5 3 3 2 2" xfId="1981"/>
    <cellStyle name="20% - Accent2 5 3 3 3" xfId="1982"/>
    <cellStyle name="20% - Accent2 5 3 4" xfId="1983"/>
    <cellStyle name="20% - Accent2 5 3 4 2" xfId="1984"/>
    <cellStyle name="20% - Accent2 5 3 5" xfId="1985"/>
    <cellStyle name="20% - Accent2 5 4" xfId="1986"/>
    <cellStyle name="20% - Accent2 5 4 2" xfId="1987"/>
    <cellStyle name="20% - Accent2 5 4 2 2" xfId="1988"/>
    <cellStyle name="20% - Accent2 5 4 2 2 2" xfId="1989"/>
    <cellStyle name="20% - Accent2 5 4 2 3" xfId="1990"/>
    <cellStyle name="20% - Accent2 5 4 3" xfId="1991"/>
    <cellStyle name="20% - Accent2 5 4 3 2" xfId="1992"/>
    <cellStyle name="20% - Accent2 5 4 4" xfId="1993"/>
    <cellStyle name="20% - Accent2 5 5" xfId="1994"/>
    <cellStyle name="20% - Accent2 5 5 2" xfId="1995"/>
    <cellStyle name="20% - Accent2 5 5 2 2" xfId="1996"/>
    <cellStyle name="20% - Accent2 5 5 3" xfId="1997"/>
    <cellStyle name="20% - Accent2 5 6" xfId="1998"/>
    <cellStyle name="20% - Accent2 5 6 2" xfId="1999"/>
    <cellStyle name="20% - Accent2 5 7" xfId="2000"/>
    <cellStyle name="20% - Accent2 6" xfId="2001"/>
    <cellStyle name="20% - Accent2 6 2" xfId="2002"/>
    <cellStyle name="20% - Accent2 6 2 2" xfId="2003"/>
    <cellStyle name="20% - Accent2 6 2 2 2" xfId="2004"/>
    <cellStyle name="20% - Accent2 6 2 2 2 2" xfId="2005"/>
    <cellStyle name="20% - Accent2 6 2 2 2 2 2" xfId="2006"/>
    <cellStyle name="20% - Accent2 6 2 2 2 3" xfId="2007"/>
    <cellStyle name="20% - Accent2 6 2 2 3" xfId="2008"/>
    <cellStyle name="20% - Accent2 6 2 2 3 2" xfId="2009"/>
    <cellStyle name="20% - Accent2 6 2 2 4" xfId="2010"/>
    <cellStyle name="20% - Accent2 6 2 3" xfId="2011"/>
    <cellStyle name="20% - Accent2 6 2 3 2" xfId="2012"/>
    <cellStyle name="20% - Accent2 6 2 3 2 2" xfId="2013"/>
    <cellStyle name="20% - Accent2 6 2 3 3" xfId="2014"/>
    <cellStyle name="20% - Accent2 6 2 4" xfId="2015"/>
    <cellStyle name="20% - Accent2 6 2 4 2" xfId="2016"/>
    <cellStyle name="20% - Accent2 6 2 5" xfId="2017"/>
    <cellStyle name="20% - Accent2 6 3" xfId="2018"/>
    <cellStyle name="20% - Accent2 6 3 2" xfId="2019"/>
    <cellStyle name="20% - Accent2 6 3 2 2" xfId="2020"/>
    <cellStyle name="20% - Accent2 6 3 2 2 2" xfId="2021"/>
    <cellStyle name="20% - Accent2 6 3 2 3" xfId="2022"/>
    <cellStyle name="20% - Accent2 6 3 3" xfId="2023"/>
    <cellStyle name="20% - Accent2 6 3 3 2" xfId="2024"/>
    <cellStyle name="20% - Accent2 6 3 4" xfId="2025"/>
    <cellStyle name="20% - Accent2 6 4" xfId="2026"/>
    <cellStyle name="20% - Accent2 6 4 2" xfId="2027"/>
    <cellStyle name="20% - Accent2 6 4 2 2" xfId="2028"/>
    <cellStyle name="20% - Accent2 6 4 3" xfId="2029"/>
    <cellStyle name="20% - Accent2 6 5" xfId="2030"/>
    <cellStyle name="20% - Accent2 6 5 2" xfId="2031"/>
    <cellStyle name="20% - Accent2 6 6" xfId="2032"/>
    <cellStyle name="20% - Accent2 7" xfId="2033"/>
    <cellStyle name="20% - Accent2 7 2" xfId="2034"/>
    <cellStyle name="20% - Accent2 7 2 2" xfId="2035"/>
    <cellStyle name="20% - Accent2 7 2 2 2" xfId="2036"/>
    <cellStyle name="20% - Accent2 7 2 2 2 2" xfId="2037"/>
    <cellStyle name="20% - Accent2 7 2 2 3" xfId="2038"/>
    <cellStyle name="20% - Accent2 7 2 3" xfId="2039"/>
    <cellStyle name="20% - Accent2 7 2 3 2" xfId="2040"/>
    <cellStyle name="20% - Accent2 7 2 4" xfId="2041"/>
    <cellStyle name="20% - Accent2 7 3" xfId="2042"/>
    <cellStyle name="20% - Accent2 7 3 2" xfId="2043"/>
    <cellStyle name="20% - Accent2 7 3 2 2" xfId="2044"/>
    <cellStyle name="20% - Accent2 7 3 3" xfId="2045"/>
    <cellStyle name="20% - Accent2 7 4" xfId="2046"/>
    <cellStyle name="20% - Accent2 7 4 2" xfId="2047"/>
    <cellStyle name="20% - Accent2 7 5" xfId="2048"/>
    <cellStyle name="20% - Accent2 8" xfId="2049"/>
    <cellStyle name="20% - Accent2 8 2" xfId="2050"/>
    <cellStyle name="20% - Accent2 8 2 2" xfId="2051"/>
    <cellStyle name="20% - Accent2 8 2 2 2" xfId="2052"/>
    <cellStyle name="20% - Accent2 8 2 3" xfId="2053"/>
    <cellStyle name="20% - Accent2 8 3" xfId="2054"/>
    <cellStyle name="20% - Accent2 8 3 2" xfId="2055"/>
    <cellStyle name="20% - Accent2 8 4" xfId="2056"/>
    <cellStyle name="20% - Accent2 9" xfId="2057"/>
    <cellStyle name="20% - Accent2 9 2" xfId="2058"/>
    <cellStyle name="20% - Accent2 9 2 2" xfId="2059"/>
    <cellStyle name="20% - Accent2 9 3" xfId="2060"/>
    <cellStyle name="20% - Accent3 10" xfId="2061"/>
    <cellStyle name="20% - Accent3 10 2" xfId="2062"/>
    <cellStyle name="20% - Accent3 11" xfId="2063"/>
    <cellStyle name="20% - Accent3 12" xfId="2064"/>
    <cellStyle name="20% - Accent3 13" xfId="2065"/>
    <cellStyle name="20% - Accent3 14" xfId="2066"/>
    <cellStyle name="20% - Accent3 2" xfId="2067"/>
    <cellStyle name="20% - Accent3 2 10" xfId="2068"/>
    <cellStyle name="20% - Accent3 2 2" xfId="2069"/>
    <cellStyle name="20% - Accent3 2 2 2" xfId="2070"/>
    <cellStyle name="20% - Accent3 2 2 2 2" xfId="2071"/>
    <cellStyle name="20% - Accent3 2 2 2 2 2" xfId="2072"/>
    <cellStyle name="20% - Accent3 2 2 2 2 2 2" xfId="2073"/>
    <cellStyle name="20% - Accent3 2 2 2 2 2 2 2" xfId="2074"/>
    <cellStyle name="20% - Accent3 2 2 2 2 2 2 2 2" xfId="2075"/>
    <cellStyle name="20% - Accent3 2 2 2 2 2 2 2 2 2" xfId="2076"/>
    <cellStyle name="20% - Accent3 2 2 2 2 2 2 2 2 2 2" xfId="2077"/>
    <cellStyle name="20% - Accent3 2 2 2 2 2 2 2 2 3" xfId="2078"/>
    <cellStyle name="20% - Accent3 2 2 2 2 2 2 2 3" xfId="2079"/>
    <cellStyle name="20% - Accent3 2 2 2 2 2 2 2 3 2" xfId="2080"/>
    <cellStyle name="20% - Accent3 2 2 2 2 2 2 2 4" xfId="2081"/>
    <cellStyle name="20% - Accent3 2 2 2 2 2 2 3" xfId="2082"/>
    <cellStyle name="20% - Accent3 2 2 2 2 2 2 3 2" xfId="2083"/>
    <cellStyle name="20% - Accent3 2 2 2 2 2 2 3 2 2" xfId="2084"/>
    <cellStyle name="20% - Accent3 2 2 2 2 2 2 3 3" xfId="2085"/>
    <cellStyle name="20% - Accent3 2 2 2 2 2 2 4" xfId="2086"/>
    <cellStyle name="20% - Accent3 2 2 2 2 2 2 4 2" xfId="2087"/>
    <cellStyle name="20% - Accent3 2 2 2 2 2 2 5" xfId="2088"/>
    <cellStyle name="20% - Accent3 2 2 2 2 2 3" xfId="2089"/>
    <cellStyle name="20% - Accent3 2 2 2 2 2 3 2" xfId="2090"/>
    <cellStyle name="20% - Accent3 2 2 2 2 2 3 2 2" xfId="2091"/>
    <cellStyle name="20% - Accent3 2 2 2 2 2 3 2 2 2" xfId="2092"/>
    <cellStyle name="20% - Accent3 2 2 2 2 2 3 2 3" xfId="2093"/>
    <cellStyle name="20% - Accent3 2 2 2 2 2 3 3" xfId="2094"/>
    <cellStyle name="20% - Accent3 2 2 2 2 2 3 3 2" xfId="2095"/>
    <cellStyle name="20% - Accent3 2 2 2 2 2 3 4" xfId="2096"/>
    <cellStyle name="20% - Accent3 2 2 2 2 2 4" xfId="2097"/>
    <cellStyle name="20% - Accent3 2 2 2 2 2 4 2" xfId="2098"/>
    <cellStyle name="20% - Accent3 2 2 2 2 2 4 2 2" xfId="2099"/>
    <cellStyle name="20% - Accent3 2 2 2 2 2 4 3" xfId="2100"/>
    <cellStyle name="20% - Accent3 2 2 2 2 2 5" xfId="2101"/>
    <cellStyle name="20% - Accent3 2 2 2 2 2 5 2" xfId="2102"/>
    <cellStyle name="20% - Accent3 2 2 2 2 2 6" xfId="2103"/>
    <cellStyle name="20% - Accent3 2 2 2 2 3" xfId="2104"/>
    <cellStyle name="20% - Accent3 2 2 2 2 3 2" xfId="2105"/>
    <cellStyle name="20% - Accent3 2 2 2 2 3 2 2" xfId="2106"/>
    <cellStyle name="20% - Accent3 2 2 2 2 3 2 2 2" xfId="2107"/>
    <cellStyle name="20% - Accent3 2 2 2 2 3 2 2 2 2" xfId="2108"/>
    <cellStyle name="20% - Accent3 2 2 2 2 3 2 2 3" xfId="2109"/>
    <cellStyle name="20% - Accent3 2 2 2 2 3 2 3" xfId="2110"/>
    <cellStyle name="20% - Accent3 2 2 2 2 3 2 3 2" xfId="2111"/>
    <cellStyle name="20% - Accent3 2 2 2 2 3 2 4" xfId="2112"/>
    <cellStyle name="20% - Accent3 2 2 2 2 3 3" xfId="2113"/>
    <cellStyle name="20% - Accent3 2 2 2 2 3 3 2" xfId="2114"/>
    <cellStyle name="20% - Accent3 2 2 2 2 3 3 2 2" xfId="2115"/>
    <cellStyle name="20% - Accent3 2 2 2 2 3 3 3" xfId="2116"/>
    <cellStyle name="20% - Accent3 2 2 2 2 3 4" xfId="2117"/>
    <cellStyle name="20% - Accent3 2 2 2 2 3 4 2" xfId="2118"/>
    <cellStyle name="20% - Accent3 2 2 2 2 3 5" xfId="2119"/>
    <cellStyle name="20% - Accent3 2 2 2 2 4" xfId="2120"/>
    <cellStyle name="20% - Accent3 2 2 2 2 4 2" xfId="2121"/>
    <cellStyle name="20% - Accent3 2 2 2 2 4 2 2" xfId="2122"/>
    <cellStyle name="20% - Accent3 2 2 2 2 4 2 2 2" xfId="2123"/>
    <cellStyle name="20% - Accent3 2 2 2 2 4 2 3" xfId="2124"/>
    <cellStyle name="20% - Accent3 2 2 2 2 4 3" xfId="2125"/>
    <cellStyle name="20% - Accent3 2 2 2 2 4 3 2" xfId="2126"/>
    <cellStyle name="20% - Accent3 2 2 2 2 4 4" xfId="2127"/>
    <cellStyle name="20% - Accent3 2 2 2 2 5" xfId="2128"/>
    <cellStyle name="20% - Accent3 2 2 2 2 5 2" xfId="2129"/>
    <cellStyle name="20% - Accent3 2 2 2 2 5 2 2" xfId="2130"/>
    <cellStyle name="20% - Accent3 2 2 2 2 5 3" xfId="2131"/>
    <cellStyle name="20% - Accent3 2 2 2 2 6" xfId="2132"/>
    <cellStyle name="20% - Accent3 2 2 2 2 6 2" xfId="2133"/>
    <cellStyle name="20% - Accent3 2 2 2 2 7" xfId="2134"/>
    <cellStyle name="20% - Accent3 2 2 2 3" xfId="2135"/>
    <cellStyle name="20% - Accent3 2 2 2 3 2" xfId="2136"/>
    <cellStyle name="20% - Accent3 2 2 2 3 2 2" xfId="2137"/>
    <cellStyle name="20% - Accent3 2 2 2 3 2 2 2" xfId="2138"/>
    <cellStyle name="20% - Accent3 2 2 2 3 2 2 2 2" xfId="2139"/>
    <cellStyle name="20% - Accent3 2 2 2 3 2 2 2 2 2" xfId="2140"/>
    <cellStyle name="20% - Accent3 2 2 2 3 2 2 2 3" xfId="2141"/>
    <cellStyle name="20% - Accent3 2 2 2 3 2 2 3" xfId="2142"/>
    <cellStyle name="20% - Accent3 2 2 2 3 2 2 3 2" xfId="2143"/>
    <cellStyle name="20% - Accent3 2 2 2 3 2 2 4" xfId="2144"/>
    <cellStyle name="20% - Accent3 2 2 2 3 2 3" xfId="2145"/>
    <cellStyle name="20% - Accent3 2 2 2 3 2 3 2" xfId="2146"/>
    <cellStyle name="20% - Accent3 2 2 2 3 2 3 2 2" xfId="2147"/>
    <cellStyle name="20% - Accent3 2 2 2 3 2 3 3" xfId="2148"/>
    <cellStyle name="20% - Accent3 2 2 2 3 2 4" xfId="2149"/>
    <cellStyle name="20% - Accent3 2 2 2 3 2 4 2" xfId="2150"/>
    <cellStyle name="20% - Accent3 2 2 2 3 2 5" xfId="2151"/>
    <cellStyle name="20% - Accent3 2 2 2 3 3" xfId="2152"/>
    <cellStyle name="20% - Accent3 2 2 2 3 3 2" xfId="2153"/>
    <cellStyle name="20% - Accent3 2 2 2 3 3 2 2" xfId="2154"/>
    <cellStyle name="20% - Accent3 2 2 2 3 3 2 2 2" xfId="2155"/>
    <cellStyle name="20% - Accent3 2 2 2 3 3 2 3" xfId="2156"/>
    <cellStyle name="20% - Accent3 2 2 2 3 3 3" xfId="2157"/>
    <cellStyle name="20% - Accent3 2 2 2 3 3 3 2" xfId="2158"/>
    <cellStyle name="20% - Accent3 2 2 2 3 3 4" xfId="2159"/>
    <cellStyle name="20% - Accent3 2 2 2 3 4" xfId="2160"/>
    <cellStyle name="20% - Accent3 2 2 2 3 4 2" xfId="2161"/>
    <cellStyle name="20% - Accent3 2 2 2 3 4 2 2" xfId="2162"/>
    <cellStyle name="20% - Accent3 2 2 2 3 4 3" xfId="2163"/>
    <cellStyle name="20% - Accent3 2 2 2 3 5" xfId="2164"/>
    <cellStyle name="20% - Accent3 2 2 2 3 5 2" xfId="2165"/>
    <cellStyle name="20% - Accent3 2 2 2 3 6" xfId="2166"/>
    <cellStyle name="20% - Accent3 2 2 2 4" xfId="2167"/>
    <cellStyle name="20% - Accent3 2 2 2 4 2" xfId="2168"/>
    <cellStyle name="20% - Accent3 2 2 2 4 2 2" xfId="2169"/>
    <cellStyle name="20% - Accent3 2 2 2 4 2 2 2" xfId="2170"/>
    <cellStyle name="20% - Accent3 2 2 2 4 2 2 2 2" xfId="2171"/>
    <cellStyle name="20% - Accent3 2 2 2 4 2 2 3" xfId="2172"/>
    <cellStyle name="20% - Accent3 2 2 2 4 2 3" xfId="2173"/>
    <cellStyle name="20% - Accent3 2 2 2 4 2 3 2" xfId="2174"/>
    <cellStyle name="20% - Accent3 2 2 2 4 2 4" xfId="2175"/>
    <cellStyle name="20% - Accent3 2 2 2 4 3" xfId="2176"/>
    <cellStyle name="20% - Accent3 2 2 2 4 3 2" xfId="2177"/>
    <cellStyle name="20% - Accent3 2 2 2 4 3 2 2" xfId="2178"/>
    <cellStyle name="20% - Accent3 2 2 2 4 3 3" xfId="2179"/>
    <cellStyle name="20% - Accent3 2 2 2 4 4" xfId="2180"/>
    <cellStyle name="20% - Accent3 2 2 2 4 4 2" xfId="2181"/>
    <cellStyle name="20% - Accent3 2 2 2 4 5" xfId="2182"/>
    <cellStyle name="20% - Accent3 2 2 2 5" xfId="2183"/>
    <cellStyle name="20% - Accent3 2 2 2 5 2" xfId="2184"/>
    <cellStyle name="20% - Accent3 2 2 2 5 2 2" xfId="2185"/>
    <cellStyle name="20% - Accent3 2 2 2 5 2 2 2" xfId="2186"/>
    <cellStyle name="20% - Accent3 2 2 2 5 2 3" xfId="2187"/>
    <cellStyle name="20% - Accent3 2 2 2 5 3" xfId="2188"/>
    <cellStyle name="20% - Accent3 2 2 2 5 3 2" xfId="2189"/>
    <cellStyle name="20% - Accent3 2 2 2 5 4" xfId="2190"/>
    <cellStyle name="20% - Accent3 2 2 2 6" xfId="2191"/>
    <cellStyle name="20% - Accent3 2 2 2 6 2" xfId="2192"/>
    <cellStyle name="20% - Accent3 2 2 2 6 2 2" xfId="2193"/>
    <cellStyle name="20% - Accent3 2 2 2 6 3" xfId="2194"/>
    <cellStyle name="20% - Accent3 2 2 2 7" xfId="2195"/>
    <cellStyle name="20% - Accent3 2 2 2 7 2" xfId="2196"/>
    <cellStyle name="20% - Accent3 2 2 2 8" xfId="2197"/>
    <cellStyle name="20% - Accent3 2 2 3" xfId="2198"/>
    <cellStyle name="20% - Accent3 2 2 3 2" xfId="2199"/>
    <cellStyle name="20% - Accent3 2 2 3 2 2" xfId="2200"/>
    <cellStyle name="20% - Accent3 2 2 3 2 2 2" xfId="2201"/>
    <cellStyle name="20% - Accent3 2 2 3 2 2 2 2" xfId="2202"/>
    <cellStyle name="20% - Accent3 2 2 3 2 2 2 2 2" xfId="2203"/>
    <cellStyle name="20% - Accent3 2 2 3 2 2 2 2 2 2" xfId="2204"/>
    <cellStyle name="20% - Accent3 2 2 3 2 2 2 2 3" xfId="2205"/>
    <cellStyle name="20% - Accent3 2 2 3 2 2 2 3" xfId="2206"/>
    <cellStyle name="20% - Accent3 2 2 3 2 2 2 3 2" xfId="2207"/>
    <cellStyle name="20% - Accent3 2 2 3 2 2 2 4" xfId="2208"/>
    <cellStyle name="20% - Accent3 2 2 3 2 2 3" xfId="2209"/>
    <cellStyle name="20% - Accent3 2 2 3 2 2 3 2" xfId="2210"/>
    <cellStyle name="20% - Accent3 2 2 3 2 2 3 2 2" xfId="2211"/>
    <cellStyle name="20% - Accent3 2 2 3 2 2 3 3" xfId="2212"/>
    <cellStyle name="20% - Accent3 2 2 3 2 2 4" xfId="2213"/>
    <cellStyle name="20% - Accent3 2 2 3 2 2 4 2" xfId="2214"/>
    <cellStyle name="20% - Accent3 2 2 3 2 2 5" xfId="2215"/>
    <cellStyle name="20% - Accent3 2 2 3 2 3" xfId="2216"/>
    <cellStyle name="20% - Accent3 2 2 3 2 3 2" xfId="2217"/>
    <cellStyle name="20% - Accent3 2 2 3 2 3 2 2" xfId="2218"/>
    <cellStyle name="20% - Accent3 2 2 3 2 3 2 2 2" xfId="2219"/>
    <cellStyle name="20% - Accent3 2 2 3 2 3 2 3" xfId="2220"/>
    <cellStyle name="20% - Accent3 2 2 3 2 3 3" xfId="2221"/>
    <cellStyle name="20% - Accent3 2 2 3 2 3 3 2" xfId="2222"/>
    <cellStyle name="20% - Accent3 2 2 3 2 3 4" xfId="2223"/>
    <cellStyle name="20% - Accent3 2 2 3 2 4" xfId="2224"/>
    <cellStyle name="20% - Accent3 2 2 3 2 4 2" xfId="2225"/>
    <cellStyle name="20% - Accent3 2 2 3 2 4 2 2" xfId="2226"/>
    <cellStyle name="20% - Accent3 2 2 3 2 4 3" xfId="2227"/>
    <cellStyle name="20% - Accent3 2 2 3 2 5" xfId="2228"/>
    <cellStyle name="20% - Accent3 2 2 3 2 5 2" xfId="2229"/>
    <cellStyle name="20% - Accent3 2 2 3 2 6" xfId="2230"/>
    <cellStyle name="20% - Accent3 2 2 3 3" xfId="2231"/>
    <cellStyle name="20% - Accent3 2 2 3 3 2" xfId="2232"/>
    <cellStyle name="20% - Accent3 2 2 3 3 2 2" xfId="2233"/>
    <cellStyle name="20% - Accent3 2 2 3 3 2 2 2" xfId="2234"/>
    <cellStyle name="20% - Accent3 2 2 3 3 2 2 2 2" xfId="2235"/>
    <cellStyle name="20% - Accent3 2 2 3 3 2 2 3" xfId="2236"/>
    <cellStyle name="20% - Accent3 2 2 3 3 2 3" xfId="2237"/>
    <cellStyle name="20% - Accent3 2 2 3 3 2 3 2" xfId="2238"/>
    <cellStyle name="20% - Accent3 2 2 3 3 2 4" xfId="2239"/>
    <cellStyle name="20% - Accent3 2 2 3 3 3" xfId="2240"/>
    <cellStyle name="20% - Accent3 2 2 3 3 3 2" xfId="2241"/>
    <cellStyle name="20% - Accent3 2 2 3 3 3 2 2" xfId="2242"/>
    <cellStyle name="20% - Accent3 2 2 3 3 3 3" xfId="2243"/>
    <cellStyle name="20% - Accent3 2 2 3 3 4" xfId="2244"/>
    <cellStyle name="20% - Accent3 2 2 3 3 4 2" xfId="2245"/>
    <cellStyle name="20% - Accent3 2 2 3 3 5" xfId="2246"/>
    <cellStyle name="20% - Accent3 2 2 3 4" xfId="2247"/>
    <cellStyle name="20% - Accent3 2 2 3 4 2" xfId="2248"/>
    <cellStyle name="20% - Accent3 2 2 3 4 2 2" xfId="2249"/>
    <cellStyle name="20% - Accent3 2 2 3 4 2 2 2" xfId="2250"/>
    <cellStyle name="20% - Accent3 2 2 3 4 2 3" xfId="2251"/>
    <cellStyle name="20% - Accent3 2 2 3 4 3" xfId="2252"/>
    <cellStyle name="20% - Accent3 2 2 3 4 3 2" xfId="2253"/>
    <cellStyle name="20% - Accent3 2 2 3 4 4" xfId="2254"/>
    <cellStyle name="20% - Accent3 2 2 3 5" xfId="2255"/>
    <cellStyle name="20% - Accent3 2 2 3 5 2" xfId="2256"/>
    <cellStyle name="20% - Accent3 2 2 3 5 2 2" xfId="2257"/>
    <cellStyle name="20% - Accent3 2 2 3 5 3" xfId="2258"/>
    <cellStyle name="20% - Accent3 2 2 3 6" xfId="2259"/>
    <cellStyle name="20% - Accent3 2 2 3 6 2" xfId="2260"/>
    <cellStyle name="20% - Accent3 2 2 3 7" xfId="2261"/>
    <cellStyle name="20% - Accent3 2 2 4" xfId="2262"/>
    <cellStyle name="20% - Accent3 2 2 4 2" xfId="2263"/>
    <cellStyle name="20% - Accent3 2 2 4 2 2" xfId="2264"/>
    <cellStyle name="20% - Accent3 2 2 4 2 2 2" xfId="2265"/>
    <cellStyle name="20% - Accent3 2 2 4 2 2 2 2" xfId="2266"/>
    <cellStyle name="20% - Accent3 2 2 4 2 2 2 2 2" xfId="2267"/>
    <cellStyle name="20% - Accent3 2 2 4 2 2 2 3" xfId="2268"/>
    <cellStyle name="20% - Accent3 2 2 4 2 2 3" xfId="2269"/>
    <cellStyle name="20% - Accent3 2 2 4 2 2 3 2" xfId="2270"/>
    <cellStyle name="20% - Accent3 2 2 4 2 2 4" xfId="2271"/>
    <cellStyle name="20% - Accent3 2 2 4 2 3" xfId="2272"/>
    <cellStyle name="20% - Accent3 2 2 4 2 3 2" xfId="2273"/>
    <cellStyle name="20% - Accent3 2 2 4 2 3 2 2" xfId="2274"/>
    <cellStyle name="20% - Accent3 2 2 4 2 3 3" xfId="2275"/>
    <cellStyle name="20% - Accent3 2 2 4 2 4" xfId="2276"/>
    <cellStyle name="20% - Accent3 2 2 4 2 4 2" xfId="2277"/>
    <cellStyle name="20% - Accent3 2 2 4 2 5" xfId="2278"/>
    <cellStyle name="20% - Accent3 2 2 4 3" xfId="2279"/>
    <cellStyle name="20% - Accent3 2 2 4 3 2" xfId="2280"/>
    <cellStyle name="20% - Accent3 2 2 4 3 2 2" xfId="2281"/>
    <cellStyle name="20% - Accent3 2 2 4 3 2 2 2" xfId="2282"/>
    <cellStyle name="20% - Accent3 2 2 4 3 2 3" xfId="2283"/>
    <cellStyle name="20% - Accent3 2 2 4 3 3" xfId="2284"/>
    <cellStyle name="20% - Accent3 2 2 4 3 3 2" xfId="2285"/>
    <cellStyle name="20% - Accent3 2 2 4 3 4" xfId="2286"/>
    <cellStyle name="20% - Accent3 2 2 4 4" xfId="2287"/>
    <cellStyle name="20% - Accent3 2 2 4 4 2" xfId="2288"/>
    <cellStyle name="20% - Accent3 2 2 4 4 2 2" xfId="2289"/>
    <cellStyle name="20% - Accent3 2 2 4 4 3" xfId="2290"/>
    <cellStyle name="20% - Accent3 2 2 4 5" xfId="2291"/>
    <cellStyle name="20% - Accent3 2 2 4 5 2" xfId="2292"/>
    <cellStyle name="20% - Accent3 2 2 4 6" xfId="2293"/>
    <cellStyle name="20% - Accent3 2 2 5" xfId="2294"/>
    <cellStyle name="20% - Accent3 2 2 5 2" xfId="2295"/>
    <cellStyle name="20% - Accent3 2 2 5 2 2" xfId="2296"/>
    <cellStyle name="20% - Accent3 2 2 5 2 2 2" xfId="2297"/>
    <cellStyle name="20% - Accent3 2 2 5 2 2 2 2" xfId="2298"/>
    <cellStyle name="20% - Accent3 2 2 5 2 2 3" xfId="2299"/>
    <cellStyle name="20% - Accent3 2 2 5 2 3" xfId="2300"/>
    <cellStyle name="20% - Accent3 2 2 5 2 3 2" xfId="2301"/>
    <cellStyle name="20% - Accent3 2 2 5 2 4" xfId="2302"/>
    <cellStyle name="20% - Accent3 2 2 5 3" xfId="2303"/>
    <cellStyle name="20% - Accent3 2 2 5 3 2" xfId="2304"/>
    <cellStyle name="20% - Accent3 2 2 5 3 2 2" xfId="2305"/>
    <cellStyle name="20% - Accent3 2 2 5 3 3" xfId="2306"/>
    <cellStyle name="20% - Accent3 2 2 5 4" xfId="2307"/>
    <cellStyle name="20% - Accent3 2 2 5 4 2" xfId="2308"/>
    <cellStyle name="20% - Accent3 2 2 5 5" xfId="2309"/>
    <cellStyle name="20% - Accent3 2 2 6" xfId="2310"/>
    <cellStyle name="20% - Accent3 2 2 6 2" xfId="2311"/>
    <cellStyle name="20% - Accent3 2 2 6 2 2" xfId="2312"/>
    <cellStyle name="20% - Accent3 2 2 6 2 2 2" xfId="2313"/>
    <cellStyle name="20% - Accent3 2 2 6 2 3" xfId="2314"/>
    <cellStyle name="20% - Accent3 2 2 6 3" xfId="2315"/>
    <cellStyle name="20% - Accent3 2 2 6 3 2" xfId="2316"/>
    <cellStyle name="20% - Accent3 2 2 6 4" xfId="2317"/>
    <cellStyle name="20% - Accent3 2 2 7" xfId="2318"/>
    <cellStyle name="20% - Accent3 2 2 7 2" xfId="2319"/>
    <cellStyle name="20% - Accent3 2 2 7 2 2" xfId="2320"/>
    <cellStyle name="20% - Accent3 2 2 7 3" xfId="2321"/>
    <cellStyle name="20% - Accent3 2 2 8" xfId="2322"/>
    <cellStyle name="20% - Accent3 2 2 8 2" xfId="2323"/>
    <cellStyle name="20% - Accent3 2 2 9" xfId="2324"/>
    <cellStyle name="20% - Accent3 2 3" xfId="2325"/>
    <cellStyle name="20% - Accent3 2 3 2" xfId="2326"/>
    <cellStyle name="20% - Accent3 2 3 2 2" xfId="2327"/>
    <cellStyle name="20% - Accent3 2 3 2 2 2" xfId="2328"/>
    <cellStyle name="20% - Accent3 2 3 2 2 2 2" xfId="2329"/>
    <cellStyle name="20% - Accent3 2 3 2 2 2 2 2" xfId="2330"/>
    <cellStyle name="20% - Accent3 2 3 2 2 2 2 2 2" xfId="2331"/>
    <cellStyle name="20% - Accent3 2 3 2 2 2 2 2 2 2" xfId="2332"/>
    <cellStyle name="20% - Accent3 2 3 2 2 2 2 2 3" xfId="2333"/>
    <cellStyle name="20% - Accent3 2 3 2 2 2 2 3" xfId="2334"/>
    <cellStyle name="20% - Accent3 2 3 2 2 2 2 3 2" xfId="2335"/>
    <cellStyle name="20% - Accent3 2 3 2 2 2 2 4" xfId="2336"/>
    <cellStyle name="20% - Accent3 2 3 2 2 2 3" xfId="2337"/>
    <cellStyle name="20% - Accent3 2 3 2 2 2 3 2" xfId="2338"/>
    <cellStyle name="20% - Accent3 2 3 2 2 2 3 2 2" xfId="2339"/>
    <cellStyle name="20% - Accent3 2 3 2 2 2 3 3" xfId="2340"/>
    <cellStyle name="20% - Accent3 2 3 2 2 2 4" xfId="2341"/>
    <cellStyle name="20% - Accent3 2 3 2 2 2 4 2" xfId="2342"/>
    <cellStyle name="20% - Accent3 2 3 2 2 2 5" xfId="2343"/>
    <cellStyle name="20% - Accent3 2 3 2 2 3" xfId="2344"/>
    <cellStyle name="20% - Accent3 2 3 2 2 3 2" xfId="2345"/>
    <cellStyle name="20% - Accent3 2 3 2 2 3 2 2" xfId="2346"/>
    <cellStyle name="20% - Accent3 2 3 2 2 3 2 2 2" xfId="2347"/>
    <cellStyle name="20% - Accent3 2 3 2 2 3 2 3" xfId="2348"/>
    <cellStyle name="20% - Accent3 2 3 2 2 3 3" xfId="2349"/>
    <cellStyle name="20% - Accent3 2 3 2 2 3 3 2" xfId="2350"/>
    <cellStyle name="20% - Accent3 2 3 2 2 3 4" xfId="2351"/>
    <cellStyle name="20% - Accent3 2 3 2 2 4" xfId="2352"/>
    <cellStyle name="20% - Accent3 2 3 2 2 4 2" xfId="2353"/>
    <cellStyle name="20% - Accent3 2 3 2 2 4 2 2" xfId="2354"/>
    <cellStyle name="20% - Accent3 2 3 2 2 4 3" xfId="2355"/>
    <cellStyle name="20% - Accent3 2 3 2 2 5" xfId="2356"/>
    <cellStyle name="20% - Accent3 2 3 2 2 5 2" xfId="2357"/>
    <cellStyle name="20% - Accent3 2 3 2 2 6" xfId="2358"/>
    <cellStyle name="20% - Accent3 2 3 2 3" xfId="2359"/>
    <cellStyle name="20% - Accent3 2 3 2 3 2" xfId="2360"/>
    <cellStyle name="20% - Accent3 2 3 2 3 2 2" xfId="2361"/>
    <cellStyle name="20% - Accent3 2 3 2 3 2 2 2" xfId="2362"/>
    <cellStyle name="20% - Accent3 2 3 2 3 2 2 2 2" xfId="2363"/>
    <cellStyle name="20% - Accent3 2 3 2 3 2 2 3" xfId="2364"/>
    <cellStyle name="20% - Accent3 2 3 2 3 2 3" xfId="2365"/>
    <cellStyle name="20% - Accent3 2 3 2 3 2 3 2" xfId="2366"/>
    <cellStyle name="20% - Accent3 2 3 2 3 2 4" xfId="2367"/>
    <cellStyle name="20% - Accent3 2 3 2 3 3" xfId="2368"/>
    <cellStyle name="20% - Accent3 2 3 2 3 3 2" xfId="2369"/>
    <cellStyle name="20% - Accent3 2 3 2 3 3 2 2" xfId="2370"/>
    <cellStyle name="20% - Accent3 2 3 2 3 3 3" xfId="2371"/>
    <cellStyle name="20% - Accent3 2 3 2 3 4" xfId="2372"/>
    <cellStyle name="20% - Accent3 2 3 2 3 4 2" xfId="2373"/>
    <cellStyle name="20% - Accent3 2 3 2 3 5" xfId="2374"/>
    <cellStyle name="20% - Accent3 2 3 2 4" xfId="2375"/>
    <cellStyle name="20% - Accent3 2 3 2 4 2" xfId="2376"/>
    <cellStyle name="20% - Accent3 2 3 2 4 2 2" xfId="2377"/>
    <cellStyle name="20% - Accent3 2 3 2 4 2 2 2" xfId="2378"/>
    <cellStyle name="20% - Accent3 2 3 2 4 2 3" xfId="2379"/>
    <cellStyle name="20% - Accent3 2 3 2 4 3" xfId="2380"/>
    <cellStyle name="20% - Accent3 2 3 2 4 3 2" xfId="2381"/>
    <cellStyle name="20% - Accent3 2 3 2 4 4" xfId="2382"/>
    <cellStyle name="20% - Accent3 2 3 2 5" xfId="2383"/>
    <cellStyle name="20% - Accent3 2 3 2 5 2" xfId="2384"/>
    <cellStyle name="20% - Accent3 2 3 2 5 2 2" xfId="2385"/>
    <cellStyle name="20% - Accent3 2 3 2 5 3" xfId="2386"/>
    <cellStyle name="20% - Accent3 2 3 2 6" xfId="2387"/>
    <cellStyle name="20% - Accent3 2 3 2 6 2" xfId="2388"/>
    <cellStyle name="20% - Accent3 2 3 2 7" xfId="2389"/>
    <cellStyle name="20% - Accent3 2 3 3" xfId="2390"/>
    <cellStyle name="20% - Accent3 2 3 3 2" xfId="2391"/>
    <cellStyle name="20% - Accent3 2 3 3 2 2" xfId="2392"/>
    <cellStyle name="20% - Accent3 2 3 3 2 2 2" xfId="2393"/>
    <cellStyle name="20% - Accent3 2 3 3 2 2 2 2" xfId="2394"/>
    <cellStyle name="20% - Accent3 2 3 3 2 2 2 2 2" xfId="2395"/>
    <cellStyle name="20% - Accent3 2 3 3 2 2 2 3" xfId="2396"/>
    <cellStyle name="20% - Accent3 2 3 3 2 2 3" xfId="2397"/>
    <cellStyle name="20% - Accent3 2 3 3 2 2 3 2" xfId="2398"/>
    <cellStyle name="20% - Accent3 2 3 3 2 2 4" xfId="2399"/>
    <cellStyle name="20% - Accent3 2 3 3 2 3" xfId="2400"/>
    <cellStyle name="20% - Accent3 2 3 3 2 3 2" xfId="2401"/>
    <cellStyle name="20% - Accent3 2 3 3 2 3 2 2" xfId="2402"/>
    <cellStyle name="20% - Accent3 2 3 3 2 3 3" xfId="2403"/>
    <cellStyle name="20% - Accent3 2 3 3 2 4" xfId="2404"/>
    <cellStyle name="20% - Accent3 2 3 3 2 4 2" xfId="2405"/>
    <cellStyle name="20% - Accent3 2 3 3 2 5" xfId="2406"/>
    <cellStyle name="20% - Accent3 2 3 3 3" xfId="2407"/>
    <cellStyle name="20% - Accent3 2 3 3 3 2" xfId="2408"/>
    <cellStyle name="20% - Accent3 2 3 3 3 2 2" xfId="2409"/>
    <cellStyle name="20% - Accent3 2 3 3 3 2 2 2" xfId="2410"/>
    <cellStyle name="20% - Accent3 2 3 3 3 2 3" xfId="2411"/>
    <cellStyle name="20% - Accent3 2 3 3 3 3" xfId="2412"/>
    <cellStyle name="20% - Accent3 2 3 3 3 3 2" xfId="2413"/>
    <cellStyle name="20% - Accent3 2 3 3 3 4" xfId="2414"/>
    <cellStyle name="20% - Accent3 2 3 3 4" xfId="2415"/>
    <cellStyle name="20% - Accent3 2 3 3 4 2" xfId="2416"/>
    <cellStyle name="20% - Accent3 2 3 3 4 2 2" xfId="2417"/>
    <cellStyle name="20% - Accent3 2 3 3 4 3" xfId="2418"/>
    <cellStyle name="20% - Accent3 2 3 3 5" xfId="2419"/>
    <cellStyle name="20% - Accent3 2 3 3 5 2" xfId="2420"/>
    <cellStyle name="20% - Accent3 2 3 3 6" xfId="2421"/>
    <cellStyle name="20% - Accent3 2 3 4" xfId="2422"/>
    <cellStyle name="20% - Accent3 2 3 4 2" xfId="2423"/>
    <cellStyle name="20% - Accent3 2 3 4 2 2" xfId="2424"/>
    <cellStyle name="20% - Accent3 2 3 4 2 2 2" xfId="2425"/>
    <cellStyle name="20% - Accent3 2 3 4 2 2 2 2" xfId="2426"/>
    <cellStyle name="20% - Accent3 2 3 4 2 2 3" xfId="2427"/>
    <cellStyle name="20% - Accent3 2 3 4 2 3" xfId="2428"/>
    <cellStyle name="20% - Accent3 2 3 4 2 3 2" xfId="2429"/>
    <cellStyle name="20% - Accent3 2 3 4 2 4" xfId="2430"/>
    <cellStyle name="20% - Accent3 2 3 4 3" xfId="2431"/>
    <cellStyle name="20% - Accent3 2 3 4 3 2" xfId="2432"/>
    <cellStyle name="20% - Accent3 2 3 4 3 2 2" xfId="2433"/>
    <cellStyle name="20% - Accent3 2 3 4 3 3" xfId="2434"/>
    <cellStyle name="20% - Accent3 2 3 4 4" xfId="2435"/>
    <cellStyle name="20% - Accent3 2 3 4 4 2" xfId="2436"/>
    <cellStyle name="20% - Accent3 2 3 4 5" xfId="2437"/>
    <cellStyle name="20% - Accent3 2 3 5" xfId="2438"/>
    <cellStyle name="20% - Accent3 2 3 5 2" xfId="2439"/>
    <cellStyle name="20% - Accent3 2 3 5 2 2" xfId="2440"/>
    <cellStyle name="20% - Accent3 2 3 5 2 2 2" xfId="2441"/>
    <cellStyle name="20% - Accent3 2 3 5 2 3" xfId="2442"/>
    <cellStyle name="20% - Accent3 2 3 5 3" xfId="2443"/>
    <cellStyle name="20% - Accent3 2 3 5 3 2" xfId="2444"/>
    <cellStyle name="20% - Accent3 2 3 5 4" xfId="2445"/>
    <cellStyle name="20% - Accent3 2 3 6" xfId="2446"/>
    <cellStyle name="20% - Accent3 2 3 6 2" xfId="2447"/>
    <cellStyle name="20% - Accent3 2 3 6 2 2" xfId="2448"/>
    <cellStyle name="20% - Accent3 2 3 6 3" xfId="2449"/>
    <cellStyle name="20% - Accent3 2 3 7" xfId="2450"/>
    <cellStyle name="20% - Accent3 2 3 7 2" xfId="2451"/>
    <cellStyle name="20% - Accent3 2 3 8" xfId="2452"/>
    <cellStyle name="20% - Accent3 2 4" xfId="2453"/>
    <cellStyle name="20% - Accent3 2 4 2" xfId="2454"/>
    <cellStyle name="20% - Accent3 2 4 2 2" xfId="2455"/>
    <cellStyle name="20% - Accent3 2 4 2 2 2" xfId="2456"/>
    <cellStyle name="20% - Accent3 2 4 2 2 2 2" xfId="2457"/>
    <cellStyle name="20% - Accent3 2 4 2 2 2 2 2" xfId="2458"/>
    <cellStyle name="20% - Accent3 2 4 2 2 2 2 2 2" xfId="2459"/>
    <cellStyle name="20% - Accent3 2 4 2 2 2 2 3" xfId="2460"/>
    <cellStyle name="20% - Accent3 2 4 2 2 2 3" xfId="2461"/>
    <cellStyle name="20% - Accent3 2 4 2 2 2 3 2" xfId="2462"/>
    <cellStyle name="20% - Accent3 2 4 2 2 2 4" xfId="2463"/>
    <cellStyle name="20% - Accent3 2 4 2 2 3" xfId="2464"/>
    <cellStyle name="20% - Accent3 2 4 2 2 3 2" xfId="2465"/>
    <cellStyle name="20% - Accent3 2 4 2 2 3 2 2" xfId="2466"/>
    <cellStyle name="20% - Accent3 2 4 2 2 3 3" xfId="2467"/>
    <cellStyle name="20% - Accent3 2 4 2 2 4" xfId="2468"/>
    <cellStyle name="20% - Accent3 2 4 2 2 4 2" xfId="2469"/>
    <cellStyle name="20% - Accent3 2 4 2 2 5" xfId="2470"/>
    <cellStyle name="20% - Accent3 2 4 2 3" xfId="2471"/>
    <cellStyle name="20% - Accent3 2 4 2 3 2" xfId="2472"/>
    <cellStyle name="20% - Accent3 2 4 2 3 2 2" xfId="2473"/>
    <cellStyle name="20% - Accent3 2 4 2 3 2 2 2" xfId="2474"/>
    <cellStyle name="20% - Accent3 2 4 2 3 2 3" xfId="2475"/>
    <cellStyle name="20% - Accent3 2 4 2 3 3" xfId="2476"/>
    <cellStyle name="20% - Accent3 2 4 2 3 3 2" xfId="2477"/>
    <cellStyle name="20% - Accent3 2 4 2 3 4" xfId="2478"/>
    <cellStyle name="20% - Accent3 2 4 2 4" xfId="2479"/>
    <cellStyle name="20% - Accent3 2 4 2 4 2" xfId="2480"/>
    <cellStyle name="20% - Accent3 2 4 2 4 2 2" xfId="2481"/>
    <cellStyle name="20% - Accent3 2 4 2 4 3" xfId="2482"/>
    <cellStyle name="20% - Accent3 2 4 2 5" xfId="2483"/>
    <cellStyle name="20% - Accent3 2 4 2 5 2" xfId="2484"/>
    <cellStyle name="20% - Accent3 2 4 2 6" xfId="2485"/>
    <cellStyle name="20% - Accent3 2 4 3" xfId="2486"/>
    <cellStyle name="20% - Accent3 2 4 3 2" xfId="2487"/>
    <cellStyle name="20% - Accent3 2 4 3 2 2" xfId="2488"/>
    <cellStyle name="20% - Accent3 2 4 3 2 2 2" xfId="2489"/>
    <cellStyle name="20% - Accent3 2 4 3 2 2 2 2" xfId="2490"/>
    <cellStyle name="20% - Accent3 2 4 3 2 2 3" xfId="2491"/>
    <cellStyle name="20% - Accent3 2 4 3 2 3" xfId="2492"/>
    <cellStyle name="20% - Accent3 2 4 3 2 3 2" xfId="2493"/>
    <cellStyle name="20% - Accent3 2 4 3 2 4" xfId="2494"/>
    <cellStyle name="20% - Accent3 2 4 3 3" xfId="2495"/>
    <cellStyle name="20% - Accent3 2 4 3 3 2" xfId="2496"/>
    <cellStyle name="20% - Accent3 2 4 3 3 2 2" xfId="2497"/>
    <cellStyle name="20% - Accent3 2 4 3 3 3" xfId="2498"/>
    <cellStyle name="20% - Accent3 2 4 3 4" xfId="2499"/>
    <cellStyle name="20% - Accent3 2 4 3 4 2" xfId="2500"/>
    <cellStyle name="20% - Accent3 2 4 3 5" xfId="2501"/>
    <cellStyle name="20% - Accent3 2 4 4" xfId="2502"/>
    <cellStyle name="20% - Accent3 2 4 4 2" xfId="2503"/>
    <cellStyle name="20% - Accent3 2 4 4 2 2" xfId="2504"/>
    <cellStyle name="20% - Accent3 2 4 4 2 2 2" xfId="2505"/>
    <cellStyle name="20% - Accent3 2 4 4 2 3" xfId="2506"/>
    <cellStyle name="20% - Accent3 2 4 4 3" xfId="2507"/>
    <cellStyle name="20% - Accent3 2 4 4 3 2" xfId="2508"/>
    <cellStyle name="20% - Accent3 2 4 4 4" xfId="2509"/>
    <cellStyle name="20% - Accent3 2 4 5" xfId="2510"/>
    <cellStyle name="20% - Accent3 2 4 5 2" xfId="2511"/>
    <cellStyle name="20% - Accent3 2 4 5 2 2" xfId="2512"/>
    <cellStyle name="20% - Accent3 2 4 5 3" xfId="2513"/>
    <cellStyle name="20% - Accent3 2 4 6" xfId="2514"/>
    <cellStyle name="20% - Accent3 2 4 6 2" xfId="2515"/>
    <cellStyle name="20% - Accent3 2 4 7" xfId="2516"/>
    <cellStyle name="20% - Accent3 2 5" xfId="2517"/>
    <cellStyle name="20% - Accent3 2 5 2" xfId="2518"/>
    <cellStyle name="20% - Accent3 2 5 2 2" xfId="2519"/>
    <cellStyle name="20% - Accent3 2 5 2 2 2" xfId="2520"/>
    <cellStyle name="20% - Accent3 2 5 2 2 2 2" xfId="2521"/>
    <cellStyle name="20% - Accent3 2 5 2 2 2 2 2" xfId="2522"/>
    <cellStyle name="20% - Accent3 2 5 2 2 2 3" xfId="2523"/>
    <cellStyle name="20% - Accent3 2 5 2 2 3" xfId="2524"/>
    <cellStyle name="20% - Accent3 2 5 2 2 3 2" xfId="2525"/>
    <cellStyle name="20% - Accent3 2 5 2 2 4" xfId="2526"/>
    <cellStyle name="20% - Accent3 2 5 2 3" xfId="2527"/>
    <cellStyle name="20% - Accent3 2 5 2 3 2" xfId="2528"/>
    <cellStyle name="20% - Accent3 2 5 2 3 2 2" xfId="2529"/>
    <cellStyle name="20% - Accent3 2 5 2 3 3" xfId="2530"/>
    <cellStyle name="20% - Accent3 2 5 2 4" xfId="2531"/>
    <cellStyle name="20% - Accent3 2 5 2 4 2" xfId="2532"/>
    <cellStyle name="20% - Accent3 2 5 2 5" xfId="2533"/>
    <cellStyle name="20% - Accent3 2 5 3" xfId="2534"/>
    <cellStyle name="20% - Accent3 2 5 3 2" xfId="2535"/>
    <cellStyle name="20% - Accent3 2 5 3 2 2" xfId="2536"/>
    <cellStyle name="20% - Accent3 2 5 3 2 2 2" xfId="2537"/>
    <cellStyle name="20% - Accent3 2 5 3 2 3" xfId="2538"/>
    <cellStyle name="20% - Accent3 2 5 3 3" xfId="2539"/>
    <cellStyle name="20% - Accent3 2 5 3 3 2" xfId="2540"/>
    <cellStyle name="20% - Accent3 2 5 3 4" xfId="2541"/>
    <cellStyle name="20% - Accent3 2 5 4" xfId="2542"/>
    <cellStyle name="20% - Accent3 2 5 4 2" xfId="2543"/>
    <cellStyle name="20% - Accent3 2 5 4 2 2" xfId="2544"/>
    <cellStyle name="20% - Accent3 2 5 4 3" xfId="2545"/>
    <cellStyle name="20% - Accent3 2 5 5" xfId="2546"/>
    <cellStyle name="20% - Accent3 2 5 5 2" xfId="2547"/>
    <cellStyle name="20% - Accent3 2 5 6" xfId="2548"/>
    <cellStyle name="20% - Accent3 2 6" xfId="2549"/>
    <cellStyle name="20% - Accent3 2 6 2" xfId="2550"/>
    <cellStyle name="20% - Accent3 2 6 2 2" xfId="2551"/>
    <cellStyle name="20% - Accent3 2 6 2 2 2" xfId="2552"/>
    <cellStyle name="20% - Accent3 2 6 2 2 2 2" xfId="2553"/>
    <cellStyle name="20% - Accent3 2 6 2 2 3" xfId="2554"/>
    <cellStyle name="20% - Accent3 2 6 2 3" xfId="2555"/>
    <cellStyle name="20% - Accent3 2 6 2 3 2" xfId="2556"/>
    <cellStyle name="20% - Accent3 2 6 2 4" xfId="2557"/>
    <cellStyle name="20% - Accent3 2 6 3" xfId="2558"/>
    <cellStyle name="20% - Accent3 2 6 3 2" xfId="2559"/>
    <cellStyle name="20% - Accent3 2 6 3 2 2" xfId="2560"/>
    <cellStyle name="20% - Accent3 2 6 3 3" xfId="2561"/>
    <cellStyle name="20% - Accent3 2 6 4" xfId="2562"/>
    <cellStyle name="20% - Accent3 2 6 4 2" xfId="2563"/>
    <cellStyle name="20% - Accent3 2 6 5" xfId="2564"/>
    <cellStyle name="20% - Accent3 2 7" xfId="2565"/>
    <cellStyle name="20% - Accent3 2 7 2" xfId="2566"/>
    <cellStyle name="20% - Accent3 2 7 2 2" xfId="2567"/>
    <cellStyle name="20% - Accent3 2 7 2 2 2" xfId="2568"/>
    <cellStyle name="20% - Accent3 2 7 2 3" xfId="2569"/>
    <cellStyle name="20% - Accent3 2 7 3" xfId="2570"/>
    <cellStyle name="20% - Accent3 2 7 3 2" xfId="2571"/>
    <cellStyle name="20% - Accent3 2 7 4" xfId="2572"/>
    <cellStyle name="20% - Accent3 2 8" xfId="2573"/>
    <cellStyle name="20% - Accent3 2 8 2" xfId="2574"/>
    <cellStyle name="20% - Accent3 2 8 2 2" xfId="2575"/>
    <cellStyle name="20% - Accent3 2 8 3" xfId="2576"/>
    <cellStyle name="20% - Accent3 2 9" xfId="2577"/>
    <cellStyle name="20% - Accent3 2 9 2" xfId="2578"/>
    <cellStyle name="20% - Accent3 3" xfId="2579"/>
    <cellStyle name="20% - Accent3 3 2" xfId="2580"/>
    <cellStyle name="20% - Accent3 3 2 2" xfId="2581"/>
    <cellStyle name="20% - Accent3 3 2 2 2" xfId="2582"/>
    <cellStyle name="20% - Accent3 3 2 2 2 2" xfId="2583"/>
    <cellStyle name="20% - Accent3 3 2 2 2 2 2" xfId="2584"/>
    <cellStyle name="20% - Accent3 3 2 2 2 2 2 2" xfId="2585"/>
    <cellStyle name="20% - Accent3 3 2 2 2 2 2 2 2" xfId="2586"/>
    <cellStyle name="20% - Accent3 3 2 2 2 2 2 2 2 2" xfId="2587"/>
    <cellStyle name="20% - Accent3 3 2 2 2 2 2 2 3" xfId="2588"/>
    <cellStyle name="20% - Accent3 3 2 2 2 2 2 3" xfId="2589"/>
    <cellStyle name="20% - Accent3 3 2 2 2 2 2 3 2" xfId="2590"/>
    <cellStyle name="20% - Accent3 3 2 2 2 2 2 4" xfId="2591"/>
    <cellStyle name="20% - Accent3 3 2 2 2 2 3" xfId="2592"/>
    <cellStyle name="20% - Accent3 3 2 2 2 2 3 2" xfId="2593"/>
    <cellStyle name="20% - Accent3 3 2 2 2 2 3 2 2" xfId="2594"/>
    <cellStyle name="20% - Accent3 3 2 2 2 2 3 3" xfId="2595"/>
    <cellStyle name="20% - Accent3 3 2 2 2 2 4" xfId="2596"/>
    <cellStyle name="20% - Accent3 3 2 2 2 2 4 2" xfId="2597"/>
    <cellStyle name="20% - Accent3 3 2 2 2 2 5" xfId="2598"/>
    <cellStyle name="20% - Accent3 3 2 2 2 3" xfId="2599"/>
    <cellStyle name="20% - Accent3 3 2 2 2 3 2" xfId="2600"/>
    <cellStyle name="20% - Accent3 3 2 2 2 3 2 2" xfId="2601"/>
    <cellStyle name="20% - Accent3 3 2 2 2 3 2 2 2" xfId="2602"/>
    <cellStyle name="20% - Accent3 3 2 2 2 3 2 3" xfId="2603"/>
    <cellStyle name="20% - Accent3 3 2 2 2 3 3" xfId="2604"/>
    <cellStyle name="20% - Accent3 3 2 2 2 3 3 2" xfId="2605"/>
    <cellStyle name="20% - Accent3 3 2 2 2 3 4" xfId="2606"/>
    <cellStyle name="20% - Accent3 3 2 2 2 4" xfId="2607"/>
    <cellStyle name="20% - Accent3 3 2 2 2 4 2" xfId="2608"/>
    <cellStyle name="20% - Accent3 3 2 2 2 4 2 2" xfId="2609"/>
    <cellStyle name="20% - Accent3 3 2 2 2 4 3" xfId="2610"/>
    <cellStyle name="20% - Accent3 3 2 2 2 5" xfId="2611"/>
    <cellStyle name="20% - Accent3 3 2 2 2 5 2" xfId="2612"/>
    <cellStyle name="20% - Accent3 3 2 2 2 6" xfId="2613"/>
    <cellStyle name="20% - Accent3 3 2 2 3" xfId="2614"/>
    <cellStyle name="20% - Accent3 3 2 2 3 2" xfId="2615"/>
    <cellStyle name="20% - Accent3 3 2 2 3 2 2" xfId="2616"/>
    <cellStyle name="20% - Accent3 3 2 2 3 2 2 2" xfId="2617"/>
    <cellStyle name="20% - Accent3 3 2 2 3 2 2 2 2" xfId="2618"/>
    <cellStyle name="20% - Accent3 3 2 2 3 2 2 3" xfId="2619"/>
    <cellStyle name="20% - Accent3 3 2 2 3 2 3" xfId="2620"/>
    <cellStyle name="20% - Accent3 3 2 2 3 2 3 2" xfId="2621"/>
    <cellStyle name="20% - Accent3 3 2 2 3 2 4" xfId="2622"/>
    <cellStyle name="20% - Accent3 3 2 2 3 3" xfId="2623"/>
    <cellStyle name="20% - Accent3 3 2 2 3 3 2" xfId="2624"/>
    <cellStyle name="20% - Accent3 3 2 2 3 3 2 2" xfId="2625"/>
    <cellStyle name="20% - Accent3 3 2 2 3 3 3" xfId="2626"/>
    <cellStyle name="20% - Accent3 3 2 2 3 4" xfId="2627"/>
    <cellStyle name="20% - Accent3 3 2 2 3 4 2" xfId="2628"/>
    <cellStyle name="20% - Accent3 3 2 2 3 5" xfId="2629"/>
    <cellStyle name="20% - Accent3 3 2 2 4" xfId="2630"/>
    <cellStyle name="20% - Accent3 3 2 2 4 2" xfId="2631"/>
    <cellStyle name="20% - Accent3 3 2 2 4 2 2" xfId="2632"/>
    <cellStyle name="20% - Accent3 3 2 2 4 2 2 2" xfId="2633"/>
    <cellStyle name="20% - Accent3 3 2 2 4 2 3" xfId="2634"/>
    <cellStyle name="20% - Accent3 3 2 2 4 3" xfId="2635"/>
    <cellStyle name="20% - Accent3 3 2 2 4 3 2" xfId="2636"/>
    <cellStyle name="20% - Accent3 3 2 2 4 4" xfId="2637"/>
    <cellStyle name="20% - Accent3 3 2 2 5" xfId="2638"/>
    <cellStyle name="20% - Accent3 3 2 2 5 2" xfId="2639"/>
    <cellStyle name="20% - Accent3 3 2 2 5 2 2" xfId="2640"/>
    <cellStyle name="20% - Accent3 3 2 2 5 3" xfId="2641"/>
    <cellStyle name="20% - Accent3 3 2 2 6" xfId="2642"/>
    <cellStyle name="20% - Accent3 3 2 2 6 2" xfId="2643"/>
    <cellStyle name="20% - Accent3 3 2 2 7" xfId="2644"/>
    <cellStyle name="20% - Accent3 3 2 3" xfId="2645"/>
    <cellStyle name="20% - Accent3 3 2 3 2" xfId="2646"/>
    <cellStyle name="20% - Accent3 3 2 3 2 2" xfId="2647"/>
    <cellStyle name="20% - Accent3 3 2 3 2 2 2" xfId="2648"/>
    <cellStyle name="20% - Accent3 3 2 3 2 2 2 2" xfId="2649"/>
    <cellStyle name="20% - Accent3 3 2 3 2 2 2 2 2" xfId="2650"/>
    <cellStyle name="20% - Accent3 3 2 3 2 2 2 3" xfId="2651"/>
    <cellStyle name="20% - Accent3 3 2 3 2 2 3" xfId="2652"/>
    <cellStyle name="20% - Accent3 3 2 3 2 2 3 2" xfId="2653"/>
    <cellStyle name="20% - Accent3 3 2 3 2 2 4" xfId="2654"/>
    <cellStyle name="20% - Accent3 3 2 3 2 3" xfId="2655"/>
    <cellStyle name="20% - Accent3 3 2 3 2 3 2" xfId="2656"/>
    <cellStyle name="20% - Accent3 3 2 3 2 3 2 2" xfId="2657"/>
    <cellStyle name="20% - Accent3 3 2 3 2 3 3" xfId="2658"/>
    <cellStyle name="20% - Accent3 3 2 3 2 4" xfId="2659"/>
    <cellStyle name="20% - Accent3 3 2 3 2 4 2" xfId="2660"/>
    <cellStyle name="20% - Accent3 3 2 3 2 5" xfId="2661"/>
    <cellStyle name="20% - Accent3 3 2 3 3" xfId="2662"/>
    <cellStyle name="20% - Accent3 3 2 3 3 2" xfId="2663"/>
    <cellStyle name="20% - Accent3 3 2 3 3 2 2" xfId="2664"/>
    <cellStyle name="20% - Accent3 3 2 3 3 2 2 2" xfId="2665"/>
    <cellStyle name="20% - Accent3 3 2 3 3 2 3" xfId="2666"/>
    <cellStyle name="20% - Accent3 3 2 3 3 3" xfId="2667"/>
    <cellStyle name="20% - Accent3 3 2 3 3 3 2" xfId="2668"/>
    <cellStyle name="20% - Accent3 3 2 3 3 4" xfId="2669"/>
    <cellStyle name="20% - Accent3 3 2 3 4" xfId="2670"/>
    <cellStyle name="20% - Accent3 3 2 3 4 2" xfId="2671"/>
    <cellStyle name="20% - Accent3 3 2 3 4 2 2" xfId="2672"/>
    <cellStyle name="20% - Accent3 3 2 3 4 3" xfId="2673"/>
    <cellStyle name="20% - Accent3 3 2 3 5" xfId="2674"/>
    <cellStyle name="20% - Accent3 3 2 3 5 2" xfId="2675"/>
    <cellStyle name="20% - Accent3 3 2 3 6" xfId="2676"/>
    <cellStyle name="20% - Accent3 3 2 4" xfId="2677"/>
    <cellStyle name="20% - Accent3 3 2 4 2" xfId="2678"/>
    <cellStyle name="20% - Accent3 3 2 4 2 2" xfId="2679"/>
    <cellStyle name="20% - Accent3 3 2 4 2 2 2" xfId="2680"/>
    <cellStyle name="20% - Accent3 3 2 4 2 2 2 2" xfId="2681"/>
    <cellStyle name="20% - Accent3 3 2 4 2 2 3" xfId="2682"/>
    <cellStyle name="20% - Accent3 3 2 4 2 3" xfId="2683"/>
    <cellStyle name="20% - Accent3 3 2 4 2 3 2" xfId="2684"/>
    <cellStyle name="20% - Accent3 3 2 4 2 4" xfId="2685"/>
    <cellStyle name="20% - Accent3 3 2 4 3" xfId="2686"/>
    <cellStyle name="20% - Accent3 3 2 4 3 2" xfId="2687"/>
    <cellStyle name="20% - Accent3 3 2 4 3 2 2" xfId="2688"/>
    <cellStyle name="20% - Accent3 3 2 4 3 3" xfId="2689"/>
    <cellStyle name="20% - Accent3 3 2 4 4" xfId="2690"/>
    <cellStyle name="20% - Accent3 3 2 4 4 2" xfId="2691"/>
    <cellStyle name="20% - Accent3 3 2 4 5" xfId="2692"/>
    <cellStyle name="20% - Accent3 3 2 5" xfId="2693"/>
    <cellStyle name="20% - Accent3 3 2 5 2" xfId="2694"/>
    <cellStyle name="20% - Accent3 3 2 5 2 2" xfId="2695"/>
    <cellStyle name="20% - Accent3 3 2 5 2 2 2" xfId="2696"/>
    <cellStyle name="20% - Accent3 3 2 5 2 3" xfId="2697"/>
    <cellStyle name="20% - Accent3 3 2 5 3" xfId="2698"/>
    <cellStyle name="20% - Accent3 3 2 5 3 2" xfId="2699"/>
    <cellStyle name="20% - Accent3 3 2 5 4" xfId="2700"/>
    <cellStyle name="20% - Accent3 3 2 6" xfId="2701"/>
    <cellStyle name="20% - Accent3 3 2 6 2" xfId="2702"/>
    <cellStyle name="20% - Accent3 3 2 6 2 2" xfId="2703"/>
    <cellStyle name="20% - Accent3 3 2 6 3" xfId="2704"/>
    <cellStyle name="20% - Accent3 3 2 7" xfId="2705"/>
    <cellStyle name="20% - Accent3 3 2 7 2" xfId="2706"/>
    <cellStyle name="20% - Accent3 3 2 8" xfId="2707"/>
    <cellStyle name="20% - Accent3 3 3" xfId="2708"/>
    <cellStyle name="20% - Accent3 3 3 2" xfId="2709"/>
    <cellStyle name="20% - Accent3 3 3 2 2" xfId="2710"/>
    <cellStyle name="20% - Accent3 3 3 2 2 2" xfId="2711"/>
    <cellStyle name="20% - Accent3 3 3 2 2 2 2" xfId="2712"/>
    <cellStyle name="20% - Accent3 3 3 2 2 2 2 2" xfId="2713"/>
    <cellStyle name="20% - Accent3 3 3 2 2 2 2 2 2" xfId="2714"/>
    <cellStyle name="20% - Accent3 3 3 2 2 2 2 3" xfId="2715"/>
    <cellStyle name="20% - Accent3 3 3 2 2 2 3" xfId="2716"/>
    <cellStyle name="20% - Accent3 3 3 2 2 2 3 2" xfId="2717"/>
    <cellStyle name="20% - Accent3 3 3 2 2 2 4" xfId="2718"/>
    <cellStyle name="20% - Accent3 3 3 2 2 3" xfId="2719"/>
    <cellStyle name="20% - Accent3 3 3 2 2 3 2" xfId="2720"/>
    <cellStyle name="20% - Accent3 3 3 2 2 3 2 2" xfId="2721"/>
    <cellStyle name="20% - Accent3 3 3 2 2 3 3" xfId="2722"/>
    <cellStyle name="20% - Accent3 3 3 2 2 4" xfId="2723"/>
    <cellStyle name="20% - Accent3 3 3 2 2 4 2" xfId="2724"/>
    <cellStyle name="20% - Accent3 3 3 2 2 5" xfId="2725"/>
    <cellStyle name="20% - Accent3 3 3 2 3" xfId="2726"/>
    <cellStyle name="20% - Accent3 3 3 2 3 2" xfId="2727"/>
    <cellStyle name="20% - Accent3 3 3 2 3 2 2" xfId="2728"/>
    <cellStyle name="20% - Accent3 3 3 2 3 2 2 2" xfId="2729"/>
    <cellStyle name="20% - Accent3 3 3 2 3 2 3" xfId="2730"/>
    <cellStyle name="20% - Accent3 3 3 2 3 3" xfId="2731"/>
    <cellStyle name="20% - Accent3 3 3 2 3 3 2" xfId="2732"/>
    <cellStyle name="20% - Accent3 3 3 2 3 4" xfId="2733"/>
    <cellStyle name="20% - Accent3 3 3 2 4" xfId="2734"/>
    <cellStyle name="20% - Accent3 3 3 2 4 2" xfId="2735"/>
    <cellStyle name="20% - Accent3 3 3 2 4 2 2" xfId="2736"/>
    <cellStyle name="20% - Accent3 3 3 2 4 3" xfId="2737"/>
    <cellStyle name="20% - Accent3 3 3 2 5" xfId="2738"/>
    <cellStyle name="20% - Accent3 3 3 2 5 2" xfId="2739"/>
    <cellStyle name="20% - Accent3 3 3 2 6" xfId="2740"/>
    <cellStyle name="20% - Accent3 3 3 3" xfId="2741"/>
    <cellStyle name="20% - Accent3 3 3 3 2" xfId="2742"/>
    <cellStyle name="20% - Accent3 3 3 3 2 2" xfId="2743"/>
    <cellStyle name="20% - Accent3 3 3 3 2 2 2" xfId="2744"/>
    <cellStyle name="20% - Accent3 3 3 3 2 2 2 2" xfId="2745"/>
    <cellStyle name="20% - Accent3 3 3 3 2 2 3" xfId="2746"/>
    <cellStyle name="20% - Accent3 3 3 3 2 3" xfId="2747"/>
    <cellStyle name="20% - Accent3 3 3 3 2 3 2" xfId="2748"/>
    <cellStyle name="20% - Accent3 3 3 3 2 4" xfId="2749"/>
    <cellStyle name="20% - Accent3 3 3 3 3" xfId="2750"/>
    <cellStyle name="20% - Accent3 3 3 3 3 2" xfId="2751"/>
    <cellStyle name="20% - Accent3 3 3 3 3 2 2" xfId="2752"/>
    <cellStyle name="20% - Accent3 3 3 3 3 3" xfId="2753"/>
    <cellStyle name="20% - Accent3 3 3 3 4" xfId="2754"/>
    <cellStyle name="20% - Accent3 3 3 3 4 2" xfId="2755"/>
    <cellStyle name="20% - Accent3 3 3 3 5" xfId="2756"/>
    <cellStyle name="20% - Accent3 3 3 4" xfId="2757"/>
    <cellStyle name="20% - Accent3 3 3 4 2" xfId="2758"/>
    <cellStyle name="20% - Accent3 3 3 4 2 2" xfId="2759"/>
    <cellStyle name="20% - Accent3 3 3 4 2 2 2" xfId="2760"/>
    <cellStyle name="20% - Accent3 3 3 4 2 3" xfId="2761"/>
    <cellStyle name="20% - Accent3 3 3 4 3" xfId="2762"/>
    <cellStyle name="20% - Accent3 3 3 4 3 2" xfId="2763"/>
    <cellStyle name="20% - Accent3 3 3 4 4" xfId="2764"/>
    <cellStyle name="20% - Accent3 3 3 5" xfId="2765"/>
    <cellStyle name="20% - Accent3 3 3 5 2" xfId="2766"/>
    <cellStyle name="20% - Accent3 3 3 5 2 2" xfId="2767"/>
    <cellStyle name="20% - Accent3 3 3 5 3" xfId="2768"/>
    <cellStyle name="20% - Accent3 3 3 6" xfId="2769"/>
    <cellStyle name="20% - Accent3 3 3 6 2" xfId="2770"/>
    <cellStyle name="20% - Accent3 3 3 7" xfId="2771"/>
    <cellStyle name="20% - Accent3 3 4" xfId="2772"/>
    <cellStyle name="20% - Accent3 3 4 2" xfId="2773"/>
    <cellStyle name="20% - Accent3 3 4 2 2" xfId="2774"/>
    <cellStyle name="20% - Accent3 3 4 2 2 2" xfId="2775"/>
    <cellStyle name="20% - Accent3 3 4 2 2 2 2" xfId="2776"/>
    <cellStyle name="20% - Accent3 3 4 2 2 2 2 2" xfId="2777"/>
    <cellStyle name="20% - Accent3 3 4 2 2 2 3" xfId="2778"/>
    <cellStyle name="20% - Accent3 3 4 2 2 3" xfId="2779"/>
    <cellStyle name="20% - Accent3 3 4 2 2 3 2" xfId="2780"/>
    <cellStyle name="20% - Accent3 3 4 2 2 4" xfId="2781"/>
    <cellStyle name="20% - Accent3 3 4 2 3" xfId="2782"/>
    <cellStyle name="20% - Accent3 3 4 2 3 2" xfId="2783"/>
    <cellStyle name="20% - Accent3 3 4 2 3 2 2" xfId="2784"/>
    <cellStyle name="20% - Accent3 3 4 2 3 3" xfId="2785"/>
    <cellStyle name="20% - Accent3 3 4 2 4" xfId="2786"/>
    <cellStyle name="20% - Accent3 3 4 2 4 2" xfId="2787"/>
    <cellStyle name="20% - Accent3 3 4 2 5" xfId="2788"/>
    <cellStyle name="20% - Accent3 3 4 3" xfId="2789"/>
    <cellStyle name="20% - Accent3 3 4 3 2" xfId="2790"/>
    <cellStyle name="20% - Accent3 3 4 3 2 2" xfId="2791"/>
    <cellStyle name="20% - Accent3 3 4 3 2 2 2" xfId="2792"/>
    <cellStyle name="20% - Accent3 3 4 3 2 3" xfId="2793"/>
    <cellStyle name="20% - Accent3 3 4 3 3" xfId="2794"/>
    <cellStyle name="20% - Accent3 3 4 3 3 2" xfId="2795"/>
    <cellStyle name="20% - Accent3 3 4 3 4" xfId="2796"/>
    <cellStyle name="20% - Accent3 3 4 4" xfId="2797"/>
    <cellStyle name="20% - Accent3 3 4 4 2" xfId="2798"/>
    <cellStyle name="20% - Accent3 3 4 4 2 2" xfId="2799"/>
    <cellStyle name="20% - Accent3 3 4 4 3" xfId="2800"/>
    <cellStyle name="20% - Accent3 3 4 5" xfId="2801"/>
    <cellStyle name="20% - Accent3 3 4 5 2" xfId="2802"/>
    <cellStyle name="20% - Accent3 3 4 6" xfId="2803"/>
    <cellStyle name="20% - Accent3 3 5" xfId="2804"/>
    <cellStyle name="20% - Accent3 3 5 2" xfId="2805"/>
    <cellStyle name="20% - Accent3 3 5 2 2" xfId="2806"/>
    <cellStyle name="20% - Accent3 3 5 2 2 2" xfId="2807"/>
    <cellStyle name="20% - Accent3 3 5 2 2 2 2" xfId="2808"/>
    <cellStyle name="20% - Accent3 3 5 2 2 3" xfId="2809"/>
    <cellStyle name="20% - Accent3 3 5 2 3" xfId="2810"/>
    <cellStyle name="20% - Accent3 3 5 2 3 2" xfId="2811"/>
    <cellStyle name="20% - Accent3 3 5 2 4" xfId="2812"/>
    <cellStyle name="20% - Accent3 3 5 3" xfId="2813"/>
    <cellStyle name="20% - Accent3 3 5 3 2" xfId="2814"/>
    <cellStyle name="20% - Accent3 3 5 3 2 2" xfId="2815"/>
    <cellStyle name="20% - Accent3 3 5 3 3" xfId="2816"/>
    <cellStyle name="20% - Accent3 3 5 4" xfId="2817"/>
    <cellStyle name="20% - Accent3 3 5 4 2" xfId="2818"/>
    <cellStyle name="20% - Accent3 3 5 5" xfId="2819"/>
    <cellStyle name="20% - Accent3 3 6" xfId="2820"/>
    <cellStyle name="20% - Accent3 3 6 2" xfId="2821"/>
    <cellStyle name="20% - Accent3 3 6 2 2" xfId="2822"/>
    <cellStyle name="20% - Accent3 3 6 2 2 2" xfId="2823"/>
    <cellStyle name="20% - Accent3 3 6 2 3" xfId="2824"/>
    <cellStyle name="20% - Accent3 3 6 3" xfId="2825"/>
    <cellStyle name="20% - Accent3 3 6 3 2" xfId="2826"/>
    <cellStyle name="20% - Accent3 3 6 4" xfId="2827"/>
    <cellStyle name="20% - Accent3 3 7" xfId="2828"/>
    <cellStyle name="20% - Accent3 3 7 2" xfId="2829"/>
    <cellStyle name="20% - Accent3 3 7 2 2" xfId="2830"/>
    <cellStyle name="20% - Accent3 3 7 3" xfId="2831"/>
    <cellStyle name="20% - Accent3 3 8" xfId="2832"/>
    <cellStyle name="20% - Accent3 3 8 2" xfId="2833"/>
    <cellStyle name="20% - Accent3 3 9" xfId="2834"/>
    <cellStyle name="20% - Accent3 4" xfId="2835"/>
    <cellStyle name="20% - Accent3 4 2" xfId="2836"/>
    <cellStyle name="20% - Accent3 4 2 2" xfId="2837"/>
    <cellStyle name="20% - Accent3 4 2 2 2" xfId="2838"/>
    <cellStyle name="20% - Accent3 4 2 2 2 2" xfId="2839"/>
    <cellStyle name="20% - Accent3 4 2 2 2 2 2" xfId="2840"/>
    <cellStyle name="20% - Accent3 4 2 2 2 2 2 2" xfId="2841"/>
    <cellStyle name="20% - Accent3 4 2 2 2 2 2 2 2" xfId="2842"/>
    <cellStyle name="20% - Accent3 4 2 2 2 2 2 3" xfId="2843"/>
    <cellStyle name="20% - Accent3 4 2 2 2 2 3" xfId="2844"/>
    <cellStyle name="20% - Accent3 4 2 2 2 2 3 2" xfId="2845"/>
    <cellStyle name="20% - Accent3 4 2 2 2 2 4" xfId="2846"/>
    <cellStyle name="20% - Accent3 4 2 2 2 3" xfId="2847"/>
    <cellStyle name="20% - Accent3 4 2 2 2 3 2" xfId="2848"/>
    <cellStyle name="20% - Accent3 4 2 2 2 3 2 2" xfId="2849"/>
    <cellStyle name="20% - Accent3 4 2 2 2 3 3" xfId="2850"/>
    <cellStyle name="20% - Accent3 4 2 2 2 4" xfId="2851"/>
    <cellStyle name="20% - Accent3 4 2 2 2 4 2" xfId="2852"/>
    <cellStyle name="20% - Accent3 4 2 2 2 5" xfId="2853"/>
    <cellStyle name="20% - Accent3 4 2 2 3" xfId="2854"/>
    <cellStyle name="20% - Accent3 4 2 2 3 2" xfId="2855"/>
    <cellStyle name="20% - Accent3 4 2 2 3 2 2" xfId="2856"/>
    <cellStyle name="20% - Accent3 4 2 2 3 2 2 2" xfId="2857"/>
    <cellStyle name="20% - Accent3 4 2 2 3 2 3" xfId="2858"/>
    <cellStyle name="20% - Accent3 4 2 2 3 3" xfId="2859"/>
    <cellStyle name="20% - Accent3 4 2 2 3 3 2" xfId="2860"/>
    <cellStyle name="20% - Accent3 4 2 2 3 4" xfId="2861"/>
    <cellStyle name="20% - Accent3 4 2 2 4" xfId="2862"/>
    <cellStyle name="20% - Accent3 4 2 2 4 2" xfId="2863"/>
    <cellStyle name="20% - Accent3 4 2 2 4 2 2" xfId="2864"/>
    <cellStyle name="20% - Accent3 4 2 2 4 3" xfId="2865"/>
    <cellStyle name="20% - Accent3 4 2 2 5" xfId="2866"/>
    <cellStyle name="20% - Accent3 4 2 2 5 2" xfId="2867"/>
    <cellStyle name="20% - Accent3 4 2 2 6" xfId="2868"/>
    <cellStyle name="20% - Accent3 4 2 3" xfId="2869"/>
    <cellStyle name="20% - Accent3 4 2 3 2" xfId="2870"/>
    <cellStyle name="20% - Accent3 4 2 3 2 2" xfId="2871"/>
    <cellStyle name="20% - Accent3 4 2 3 2 2 2" xfId="2872"/>
    <cellStyle name="20% - Accent3 4 2 3 2 2 2 2" xfId="2873"/>
    <cellStyle name="20% - Accent3 4 2 3 2 2 3" xfId="2874"/>
    <cellStyle name="20% - Accent3 4 2 3 2 3" xfId="2875"/>
    <cellStyle name="20% - Accent3 4 2 3 2 3 2" xfId="2876"/>
    <cellStyle name="20% - Accent3 4 2 3 2 4" xfId="2877"/>
    <cellStyle name="20% - Accent3 4 2 3 3" xfId="2878"/>
    <cellStyle name="20% - Accent3 4 2 3 3 2" xfId="2879"/>
    <cellStyle name="20% - Accent3 4 2 3 3 2 2" xfId="2880"/>
    <cellStyle name="20% - Accent3 4 2 3 3 3" xfId="2881"/>
    <cellStyle name="20% - Accent3 4 2 3 4" xfId="2882"/>
    <cellStyle name="20% - Accent3 4 2 3 4 2" xfId="2883"/>
    <cellStyle name="20% - Accent3 4 2 3 5" xfId="2884"/>
    <cellStyle name="20% - Accent3 4 2 4" xfId="2885"/>
    <cellStyle name="20% - Accent3 4 2 4 2" xfId="2886"/>
    <cellStyle name="20% - Accent3 4 2 4 2 2" xfId="2887"/>
    <cellStyle name="20% - Accent3 4 2 4 2 2 2" xfId="2888"/>
    <cellStyle name="20% - Accent3 4 2 4 2 3" xfId="2889"/>
    <cellStyle name="20% - Accent3 4 2 4 3" xfId="2890"/>
    <cellStyle name="20% - Accent3 4 2 4 3 2" xfId="2891"/>
    <cellStyle name="20% - Accent3 4 2 4 4" xfId="2892"/>
    <cellStyle name="20% - Accent3 4 2 5" xfId="2893"/>
    <cellStyle name="20% - Accent3 4 2 5 2" xfId="2894"/>
    <cellStyle name="20% - Accent3 4 2 5 2 2" xfId="2895"/>
    <cellStyle name="20% - Accent3 4 2 5 3" xfId="2896"/>
    <cellStyle name="20% - Accent3 4 2 6" xfId="2897"/>
    <cellStyle name="20% - Accent3 4 2 6 2" xfId="2898"/>
    <cellStyle name="20% - Accent3 4 2 7" xfId="2899"/>
    <cellStyle name="20% - Accent3 4 3" xfId="2900"/>
    <cellStyle name="20% - Accent3 4 3 2" xfId="2901"/>
    <cellStyle name="20% - Accent3 4 3 2 2" xfId="2902"/>
    <cellStyle name="20% - Accent3 4 3 2 2 2" xfId="2903"/>
    <cellStyle name="20% - Accent3 4 3 2 2 2 2" xfId="2904"/>
    <cellStyle name="20% - Accent3 4 3 2 2 2 2 2" xfId="2905"/>
    <cellStyle name="20% - Accent3 4 3 2 2 2 3" xfId="2906"/>
    <cellStyle name="20% - Accent3 4 3 2 2 3" xfId="2907"/>
    <cellStyle name="20% - Accent3 4 3 2 2 3 2" xfId="2908"/>
    <cellStyle name="20% - Accent3 4 3 2 2 4" xfId="2909"/>
    <cellStyle name="20% - Accent3 4 3 2 3" xfId="2910"/>
    <cellStyle name="20% - Accent3 4 3 2 3 2" xfId="2911"/>
    <cellStyle name="20% - Accent3 4 3 2 3 2 2" xfId="2912"/>
    <cellStyle name="20% - Accent3 4 3 2 3 3" xfId="2913"/>
    <cellStyle name="20% - Accent3 4 3 2 4" xfId="2914"/>
    <cellStyle name="20% - Accent3 4 3 2 4 2" xfId="2915"/>
    <cellStyle name="20% - Accent3 4 3 2 5" xfId="2916"/>
    <cellStyle name="20% - Accent3 4 3 3" xfId="2917"/>
    <cellStyle name="20% - Accent3 4 3 3 2" xfId="2918"/>
    <cellStyle name="20% - Accent3 4 3 3 2 2" xfId="2919"/>
    <cellStyle name="20% - Accent3 4 3 3 2 2 2" xfId="2920"/>
    <cellStyle name="20% - Accent3 4 3 3 2 3" xfId="2921"/>
    <cellStyle name="20% - Accent3 4 3 3 3" xfId="2922"/>
    <cellStyle name="20% - Accent3 4 3 3 3 2" xfId="2923"/>
    <cellStyle name="20% - Accent3 4 3 3 4" xfId="2924"/>
    <cellStyle name="20% - Accent3 4 3 4" xfId="2925"/>
    <cellStyle name="20% - Accent3 4 3 4 2" xfId="2926"/>
    <cellStyle name="20% - Accent3 4 3 4 2 2" xfId="2927"/>
    <cellStyle name="20% - Accent3 4 3 4 3" xfId="2928"/>
    <cellStyle name="20% - Accent3 4 3 5" xfId="2929"/>
    <cellStyle name="20% - Accent3 4 3 5 2" xfId="2930"/>
    <cellStyle name="20% - Accent3 4 3 6" xfId="2931"/>
    <cellStyle name="20% - Accent3 4 4" xfId="2932"/>
    <cellStyle name="20% - Accent3 4 4 2" xfId="2933"/>
    <cellStyle name="20% - Accent3 4 4 2 2" xfId="2934"/>
    <cellStyle name="20% - Accent3 4 4 2 2 2" xfId="2935"/>
    <cellStyle name="20% - Accent3 4 4 2 2 2 2" xfId="2936"/>
    <cellStyle name="20% - Accent3 4 4 2 2 3" xfId="2937"/>
    <cellStyle name="20% - Accent3 4 4 2 3" xfId="2938"/>
    <cellStyle name="20% - Accent3 4 4 2 3 2" xfId="2939"/>
    <cellStyle name="20% - Accent3 4 4 2 4" xfId="2940"/>
    <cellStyle name="20% - Accent3 4 4 3" xfId="2941"/>
    <cellStyle name="20% - Accent3 4 4 3 2" xfId="2942"/>
    <cellStyle name="20% - Accent3 4 4 3 2 2" xfId="2943"/>
    <cellStyle name="20% - Accent3 4 4 3 3" xfId="2944"/>
    <cellStyle name="20% - Accent3 4 4 4" xfId="2945"/>
    <cellStyle name="20% - Accent3 4 4 4 2" xfId="2946"/>
    <cellStyle name="20% - Accent3 4 4 5" xfId="2947"/>
    <cellStyle name="20% - Accent3 4 5" xfId="2948"/>
    <cellStyle name="20% - Accent3 4 5 2" xfId="2949"/>
    <cellStyle name="20% - Accent3 4 5 2 2" xfId="2950"/>
    <cellStyle name="20% - Accent3 4 5 2 2 2" xfId="2951"/>
    <cellStyle name="20% - Accent3 4 5 2 3" xfId="2952"/>
    <cellStyle name="20% - Accent3 4 5 3" xfId="2953"/>
    <cellStyle name="20% - Accent3 4 5 3 2" xfId="2954"/>
    <cellStyle name="20% - Accent3 4 5 4" xfId="2955"/>
    <cellStyle name="20% - Accent3 4 6" xfId="2956"/>
    <cellStyle name="20% - Accent3 4 6 2" xfId="2957"/>
    <cellStyle name="20% - Accent3 4 6 2 2" xfId="2958"/>
    <cellStyle name="20% - Accent3 4 6 3" xfId="2959"/>
    <cellStyle name="20% - Accent3 4 7" xfId="2960"/>
    <cellStyle name="20% - Accent3 4 7 2" xfId="2961"/>
    <cellStyle name="20% - Accent3 4 8" xfId="2962"/>
    <cellStyle name="20% - Accent3 5" xfId="2963"/>
    <cellStyle name="20% - Accent3 5 2" xfId="2964"/>
    <cellStyle name="20% - Accent3 5 2 2" xfId="2965"/>
    <cellStyle name="20% - Accent3 5 2 2 2" xfId="2966"/>
    <cellStyle name="20% - Accent3 5 2 2 2 2" xfId="2967"/>
    <cellStyle name="20% - Accent3 5 2 2 2 2 2" xfId="2968"/>
    <cellStyle name="20% - Accent3 5 2 2 2 2 2 2" xfId="2969"/>
    <cellStyle name="20% - Accent3 5 2 2 2 2 3" xfId="2970"/>
    <cellStyle name="20% - Accent3 5 2 2 2 3" xfId="2971"/>
    <cellStyle name="20% - Accent3 5 2 2 2 3 2" xfId="2972"/>
    <cellStyle name="20% - Accent3 5 2 2 2 4" xfId="2973"/>
    <cellStyle name="20% - Accent3 5 2 2 3" xfId="2974"/>
    <cellStyle name="20% - Accent3 5 2 2 3 2" xfId="2975"/>
    <cellStyle name="20% - Accent3 5 2 2 3 2 2" xfId="2976"/>
    <cellStyle name="20% - Accent3 5 2 2 3 3" xfId="2977"/>
    <cellStyle name="20% - Accent3 5 2 2 4" xfId="2978"/>
    <cellStyle name="20% - Accent3 5 2 2 4 2" xfId="2979"/>
    <cellStyle name="20% - Accent3 5 2 2 5" xfId="2980"/>
    <cellStyle name="20% - Accent3 5 2 3" xfId="2981"/>
    <cellStyle name="20% - Accent3 5 2 3 2" xfId="2982"/>
    <cellStyle name="20% - Accent3 5 2 3 2 2" xfId="2983"/>
    <cellStyle name="20% - Accent3 5 2 3 2 2 2" xfId="2984"/>
    <cellStyle name="20% - Accent3 5 2 3 2 3" xfId="2985"/>
    <cellStyle name="20% - Accent3 5 2 3 3" xfId="2986"/>
    <cellStyle name="20% - Accent3 5 2 3 3 2" xfId="2987"/>
    <cellStyle name="20% - Accent3 5 2 3 4" xfId="2988"/>
    <cellStyle name="20% - Accent3 5 2 4" xfId="2989"/>
    <cellStyle name="20% - Accent3 5 2 4 2" xfId="2990"/>
    <cellStyle name="20% - Accent3 5 2 4 2 2" xfId="2991"/>
    <cellStyle name="20% - Accent3 5 2 4 3" xfId="2992"/>
    <cellStyle name="20% - Accent3 5 2 5" xfId="2993"/>
    <cellStyle name="20% - Accent3 5 2 5 2" xfId="2994"/>
    <cellStyle name="20% - Accent3 5 2 6" xfId="2995"/>
    <cellStyle name="20% - Accent3 5 3" xfId="2996"/>
    <cellStyle name="20% - Accent3 5 3 2" xfId="2997"/>
    <cellStyle name="20% - Accent3 5 3 2 2" xfId="2998"/>
    <cellStyle name="20% - Accent3 5 3 2 2 2" xfId="2999"/>
    <cellStyle name="20% - Accent3 5 3 2 2 2 2" xfId="3000"/>
    <cellStyle name="20% - Accent3 5 3 2 2 3" xfId="3001"/>
    <cellStyle name="20% - Accent3 5 3 2 3" xfId="3002"/>
    <cellStyle name="20% - Accent3 5 3 2 3 2" xfId="3003"/>
    <cellStyle name="20% - Accent3 5 3 2 4" xfId="3004"/>
    <cellStyle name="20% - Accent3 5 3 3" xfId="3005"/>
    <cellStyle name="20% - Accent3 5 3 3 2" xfId="3006"/>
    <cellStyle name="20% - Accent3 5 3 3 2 2" xfId="3007"/>
    <cellStyle name="20% - Accent3 5 3 3 3" xfId="3008"/>
    <cellStyle name="20% - Accent3 5 3 4" xfId="3009"/>
    <cellStyle name="20% - Accent3 5 3 4 2" xfId="3010"/>
    <cellStyle name="20% - Accent3 5 3 5" xfId="3011"/>
    <cellStyle name="20% - Accent3 5 4" xfId="3012"/>
    <cellStyle name="20% - Accent3 5 4 2" xfId="3013"/>
    <cellStyle name="20% - Accent3 5 4 2 2" xfId="3014"/>
    <cellStyle name="20% - Accent3 5 4 2 2 2" xfId="3015"/>
    <cellStyle name="20% - Accent3 5 4 2 3" xfId="3016"/>
    <cellStyle name="20% - Accent3 5 4 3" xfId="3017"/>
    <cellStyle name="20% - Accent3 5 4 3 2" xfId="3018"/>
    <cellStyle name="20% - Accent3 5 4 4" xfId="3019"/>
    <cellStyle name="20% - Accent3 5 5" xfId="3020"/>
    <cellStyle name="20% - Accent3 5 5 2" xfId="3021"/>
    <cellStyle name="20% - Accent3 5 5 2 2" xfId="3022"/>
    <cellStyle name="20% - Accent3 5 5 3" xfId="3023"/>
    <cellStyle name="20% - Accent3 5 6" xfId="3024"/>
    <cellStyle name="20% - Accent3 5 6 2" xfId="3025"/>
    <cellStyle name="20% - Accent3 5 7" xfId="3026"/>
    <cellStyle name="20% - Accent3 6" xfId="3027"/>
    <cellStyle name="20% - Accent3 6 2" xfId="3028"/>
    <cellStyle name="20% - Accent3 6 2 2" xfId="3029"/>
    <cellStyle name="20% - Accent3 6 2 2 2" xfId="3030"/>
    <cellStyle name="20% - Accent3 6 2 2 2 2" xfId="3031"/>
    <cellStyle name="20% - Accent3 6 2 2 2 2 2" xfId="3032"/>
    <cellStyle name="20% - Accent3 6 2 2 2 3" xfId="3033"/>
    <cellStyle name="20% - Accent3 6 2 2 3" xfId="3034"/>
    <cellStyle name="20% - Accent3 6 2 2 3 2" xfId="3035"/>
    <cellStyle name="20% - Accent3 6 2 2 4" xfId="3036"/>
    <cellStyle name="20% - Accent3 6 2 3" xfId="3037"/>
    <cellStyle name="20% - Accent3 6 2 3 2" xfId="3038"/>
    <cellStyle name="20% - Accent3 6 2 3 2 2" xfId="3039"/>
    <cellStyle name="20% - Accent3 6 2 3 3" xfId="3040"/>
    <cellStyle name="20% - Accent3 6 2 4" xfId="3041"/>
    <cellStyle name="20% - Accent3 6 2 4 2" xfId="3042"/>
    <cellStyle name="20% - Accent3 6 2 5" xfId="3043"/>
    <cellStyle name="20% - Accent3 6 3" xfId="3044"/>
    <cellStyle name="20% - Accent3 6 3 2" xfId="3045"/>
    <cellStyle name="20% - Accent3 6 3 2 2" xfId="3046"/>
    <cellStyle name="20% - Accent3 6 3 2 2 2" xfId="3047"/>
    <cellStyle name="20% - Accent3 6 3 2 3" xfId="3048"/>
    <cellStyle name="20% - Accent3 6 3 3" xfId="3049"/>
    <cellStyle name="20% - Accent3 6 3 3 2" xfId="3050"/>
    <cellStyle name="20% - Accent3 6 3 4" xfId="3051"/>
    <cellStyle name="20% - Accent3 6 4" xfId="3052"/>
    <cellStyle name="20% - Accent3 6 4 2" xfId="3053"/>
    <cellStyle name="20% - Accent3 6 4 2 2" xfId="3054"/>
    <cellStyle name="20% - Accent3 6 4 3" xfId="3055"/>
    <cellStyle name="20% - Accent3 6 5" xfId="3056"/>
    <cellStyle name="20% - Accent3 6 5 2" xfId="3057"/>
    <cellStyle name="20% - Accent3 6 6" xfId="3058"/>
    <cellStyle name="20% - Accent3 7" xfId="3059"/>
    <cellStyle name="20% - Accent3 7 2" xfId="3060"/>
    <cellStyle name="20% - Accent3 7 2 2" xfId="3061"/>
    <cellStyle name="20% - Accent3 7 2 2 2" xfId="3062"/>
    <cellStyle name="20% - Accent3 7 2 2 2 2" xfId="3063"/>
    <cellStyle name="20% - Accent3 7 2 2 3" xfId="3064"/>
    <cellStyle name="20% - Accent3 7 2 3" xfId="3065"/>
    <cellStyle name="20% - Accent3 7 2 3 2" xfId="3066"/>
    <cellStyle name="20% - Accent3 7 2 4" xfId="3067"/>
    <cellStyle name="20% - Accent3 7 3" xfId="3068"/>
    <cellStyle name="20% - Accent3 7 3 2" xfId="3069"/>
    <cellStyle name="20% - Accent3 7 3 2 2" xfId="3070"/>
    <cellStyle name="20% - Accent3 7 3 3" xfId="3071"/>
    <cellStyle name="20% - Accent3 7 4" xfId="3072"/>
    <cellStyle name="20% - Accent3 7 4 2" xfId="3073"/>
    <cellStyle name="20% - Accent3 7 5" xfId="3074"/>
    <cellStyle name="20% - Accent3 8" xfId="3075"/>
    <cellStyle name="20% - Accent3 8 2" xfId="3076"/>
    <cellStyle name="20% - Accent3 8 2 2" xfId="3077"/>
    <cellStyle name="20% - Accent3 8 2 2 2" xfId="3078"/>
    <cellStyle name="20% - Accent3 8 2 3" xfId="3079"/>
    <cellStyle name="20% - Accent3 8 3" xfId="3080"/>
    <cellStyle name="20% - Accent3 8 3 2" xfId="3081"/>
    <cellStyle name="20% - Accent3 8 4" xfId="3082"/>
    <cellStyle name="20% - Accent3 9" xfId="3083"/>
    <cellStyle name="20% - Accent3 9 2" xfId="3084"/>
    <cellStyle name="20% - Accent3 9 2 2" xfId="3085"/>
    <cellStyle name="20% - Accent3 9 3" xfId="3086"/>
    <cellStyle name="20% - Accent4 10" xfId="3087"/>
    <cellStyle name="20% - Accent4 10 2" xfId="3088"/>
    <cellStyle name="20% - Accent4 11" xfId="3089"/>
    <cellStyle name="20% - Accent4 12" xfId="3090"/>
    <cellStyle name="20% - Accent4 13" xfId="3091"/>
    <cellStyle name="20% - Accent4 14" xfId="3092"/>
    <cellStyle name="20% - Accent4 2" xfId="3093"/>
    <cellStyle name="20% - Accent4 2 10" xfId="3094"/>
    <cellStyle name="20% - Accent4 2 2" xfId="3095"/>
    <cellStyle name="20% - Accent4 2 2 2" xfId="3096"/>
    <cellStyle name="20% - Accent4 2 2 2 2" xfId="3097"/>
    <cellStyle name="20% - Accent4 2 2 2 2 2" xfId="3098"/>
    <cellStyle name="20% - Accent4 2 2 2 2 2 2" xfId="3099"/>
    <cellStyle name="20% - Accent4 2 2 2 2 2 2 2" xfId="3100"/>
    <cellStyle name="20% - Accent4 2 2 2 2 2 2 2 2" xfId="3101"/>
    <cellStyle name="20% - Accent4 2 2 2 2 2 2 2 2 2" xfId="3102"/>
    <cellStyle name="20% - Accent4 2 2 2 2 2 2 2 2 2 2" xfId="3103"/>
    <cellStyle name="20% - Accent4 2 2 2 2 2 2 2 2 3" xfId="3104"/>
    <cellStyle name="20% - Accent4 2 2 2 2 2 2 2 3" xfId="3105"/>
    <cellStyle name="20% - Accent4 2 2 2 2 2 2 2 3 2" xfId="3106"/>
    <cellStyle name="20% - Accent4 2 2 2 2 2 2 2 4" xfId="3107"/>
    <cellStyle name="20% - Accent4 2 2 2 2 2 2 3" xfId="3108"/>
    <cellStyle name="20% - Accent4 2 2 2 2 2 2 3 2" xfId="3109"/>
    <cellStyle name="20% - Accent4 2 2 2 2 2 2 3 2 2" xfId="3110"/>
    <cellStyle name="20% - Accent4 2 2 2 2 2 2 3 3" xfId="3111"/>
    <cellStyle name="20% - Accent4 2 2 2 2 2 2 4" xfId="3112"/>
    <cellStyle name="20% - Accent4 2 2 2 2 2 2 4 2" xfId="3113"/>
    <cellStyle name="20% - Accent4 2 2 2 2 2 2 5" xfId="3114"/>
    <cellStyle name="20% - Accent4 2 2 2 2 2 3" xfId="3115"/>
    <cellStyle name="20% - Accent4 2 2 2 2 2 3 2" xfId="3116"/>
    <cellStyle name="20% - Accent4 2 2 2 2 2 3 2 2" xfId="3117"/>
    <cellStyle name="20% - Accent4 2 2 2 2 2 3 2 2 2" xfId="3118"/>
    <cellStyle name="20% - Accent4 2 2 2 2 2 3 2 3" xfId="3119"/>
    <cellStyle name="20% - Accent4 2 2 2 2 2 3 3" xfId="3120"/>
    <cellStyle name="20% - Accent4 2 2 2 2 2 3 3 2" xfId="3121"/>
    <cellStyle name="20% - Accent4 2 2 2 2 2 3 4" xfId="3122"/>
    <cellStyle name="20% - Accent4 2 2 2 2 2 4" xfId="3123"/>
    <cellStyle name="20% - Accent4 2 2 2 2 2 4 2" xfId="3124"/>
    <cellStyle name="20% - Accent4 2 2 2 2 2 4 2 2" xfId="3125"/>
    <cellStyle name="20% - Accent4 2 2 2 2 2 4 3" xfId="3126"/>
    <cellStyle name="20% - Accent4 2 2 2 2 2 5" xfId="3127"/>
    <cellStyle name="20% - Accent4 2 2 2 2 2 5 2" xfId="3128"/>
    <cellStyle name="20% - Accent4 2 2 2 2 2 6" xfId="3129"/>
    <cellStyle name="20% - Accent4 2 2 2 2 3" xfId="3130"/>
    <cellStyle name="20% - Accent4 2 2 2 2 3 2" xfId="3131"/>
    <cellStyle name="20% - Accent4 2 2 2 2 3 2 2" xfId="3132"/>
    <cellStyle name="20% - Accent4 2 2 2 2 3 2 2 2" xfId="3133"/>
    <cellStyle name="20% - Accent4 2 2 2 2 3 2 2 2 2" xfId="3134"/>
    <cellStyle name="20% - Accent4 2 2 2 2 3 2 2 3" xfId="3135"/>
    <cellStyle name="20% - Accent4 2 2 2 2 3 2 3" xfId="3136"/>
    <cellStyle name="20% - Accent4 2 2 2 2 3 2 3 2" xfId="3137"/>
    <cellStyle name="20% - Accent4 2 2 2 2 3 2 4" xfId="3138"/>
    <cellStyle name="20% - Accent4 2 2 2 2 3 3" xfId="3139"/>
    <cellStyle name="20% - Accent4 2 2 2 2 3 3 2" xfId="3140"/>
    <cellStyle name="20% - Accent4 2 2 2 2 3 3 2 2" xfId="3141"/>
    <cellStyle name="20% - Accent4 2 2 2 2 3 3 3" xfId="3142"/>
    <cellStyle name="20% - Accent4 2 2 2 2 3 4" xfId="3143"/>
    <cellStyle name="20% - Accent4 2 2 2 2 3 4 2" xfId="3144"/>
    <cellStyle name="20% - Accent4 2 2 2 2 3 5" xfId="3145"/>
    <cellStyle name="20% - Accent4 2 2 2 2 4" xfId="3146"/>
    <cellStyle name="20% - Accent4 2 2 2 2 4 2" xfId="3147"/>
    <cellStyle name="20% - Accent4 2 2 2 2 4 2 2" xfId="3148"/>
    <cellStyle name="20% - Accent4 2 2 2 2 4 2 2 2" xfId="3149"/>
    <cellStyle name="20% - Accent4 2 2 2 2 4 2 3" xfId="3150"/>
    <cellStyle name="20% - Accent4 2 2 2 2 4 3" xfId="3151"/>
    <cellStyle name="20% - Accent4 2 2 2 2 4 3 2" xfId="3152"/>
    <cellStyle name="20% - Accent4 2 2 2 2 4 4" xfId="3153"/>
    <cellStyle name="20% - Accent4 2 2 2 2 5" xfId="3154"/>
    <cellStyle name="20% - Accent4 2 2 2 2 5 2" xfId="3155"/>
    <cellStyle name="20% - Accent4 2 2 2 2 5 2 2" xfId="3156"/>
    <cellStyle name="20% - Accent4 2 2 2 2 5 3" xfId="3157"/>
    <cellStyle name="20% - Accent4 2 2 2 2 6" xfId="3158"/>
    <cellStyle name="20% - Accent4 2 2 2 2 6 2" xfId="3159"/>
    <cellStyle name="20% - Accent4 2 2 2 2 7" xfId="3160"/>
    <cellStyle name="20% - Accent4 2 2 2 3" xfId="3161"/>
    <cellStyle name="20% - Accent4 2 2 2 3 2" xfId="3162"/>
    <cellStyle name="20% - Accent4 2 2 2 3 2 2" xfId="3163"/>
    <cellStyle name="20% - Accent4 2 2 2 3 2 2 2" xfId="3164"/>
    <cellStyle name="20% - Accent4 2 2 2 3 2 2 2 2" xfId="3165"/>
    <cellStyle name="20% - Accent4 2 2 2 3 2 2 2 2 2" xfId="3166"/>
    <cellStyle name="20% - Accent4 2 2 2 3 2 2 2 3" xfId="3167"/>
    <cellStyle name="20% - Accent4 2 2 2 3 2 2 3" xfId="3168"/>
    <cellStyle name="20% - Accent4 2 2 2 3 2 2 3 2" xfId="3169"/>
    <cellStyle name="20% - Accent4 2 2 2 3 2 2 4" xfId="3170"/>
    <cellStyle name="20% - Accent4 2 2 2 3 2 3" xfId="3171"/>
    <cellStyle name="20% - Accent4 2 2 2 3 2 3 2" xfId="3172"/>
    <cellStyle name="20% - Accent4 2 2 2 3 2 3 2 2" xfId="3173"/>
    <cellStyle name="20% - Accent4 2 2 2 3 2 3 3" xfId="3174"/>
    <cellStyle name="20% - Accent4 2 2 2 3 2 4" xfId="3175"/>
    <cellStyle name="20% - Accent4 2 2 2 3 2 4 2" xfId="3176"/>
    <cellStyle name="20% - Accent4 2 2 2 3 2 5" xfId="3177"/>
    <cellStyle name="20% - Accent4 2 2 2 3 3" xfId="3178"/>
    <cellStyle name="20% - Accent4 2 2 2 3 3 2" xfId="3179"/>
    <cellStyle name="20% - Accent4 2 2 2 3 3 2 2" xfId="3180"/>
    <cellStyle name="20% - Accent4 2 2 2 3 3 2 2 2" xfId="3181"/>
    <cellStyle name="20% - Accent4 2 2 2 3 3 2 3" xfId="3182"/>
    <cellStyle name="20% - Accent4 2 2 2 3 3 3" xfId="3183"/>
    <cellStyle name="20% - Accent4 2 2 2 3 3 3 2" xfId="3184"/>
    <cellStyle name="20% - Accent4 2 2 2 3 3 4" xfId="3185"/>
    <cellStyle name="20% - Accent4 2 2 2 3 4" xfId="3186"/>
    <cellStyle name="20% - Accent4 2 2 2 3 4 2" xfId="3187"/>
    <cellStyle name="20% - Accent4 2 2 2 3 4 2 2" xfId="3188"/>
    <cellStyle name="20% - Accent4 2 2 2 3 4 3" xfId="3189"/>
    <cellStyle name="20% - Accent4 2 2 2 3 5" xfId="3190"/>
    <cellStyle name="20% - Accent4 2 2 2 3 5 2" xfId="3191"/>
    <cellStyle name="20% - Accent4 2 2 2 3 6" xfId="3192"/>
    <cellStyle name="20% - Accent4 2 2 2 4" xfId="3193"/>
    <cellStyle name="20% - Accent4 2 2 2 4 2" xfId="3194"/>
    <cellStyle name="20% - Accent4 2 2 2 4 2 2" xfId="3195"/>
    <cellStyle name="20% - Accent4 2 2 2 4 2 2 2" xfId="3196"/>
    <cellStyle name="20% - Accent4 2 2 2 4 2 2 2 2" xfId="3197"/>
    <cellStyle name="20% - Accent4 2 2 2 4 2 2 3" xfId="3198"/>
    <cellStyle name="20% - Accent4 2 2 2 4 2 3" xfId="3199"/>
    <cellStyle name="20% - Accent4 2 2 2 4 2 3 2" xfId="3200"/>
    <cellStyle name="20% - Accent4 2 2 2 4 2 4" xfId="3201"/>
    <cellStyle name="20% - Accent4 2 2 2 4 3" xfId="3202"/>
    <cellStyle name="20% - Accent4 2 2 2 4 3 2" xfId="3203"/>
    <cellStyle name="20% - Accent4 2 2 2 4 3 2 2" xfId="3204"/>
    <cellStyle name="20% - Accent4 2 2 2 4 3 3" xfId="3205"/>
    <cellStyle name="20% - Accent4 2 2 2 4 4" xfId="3206"/>
    <cellStyle name="20% - Accent4 2 2 2 4 4 2" xfId="3207"/>
    <cellStyle name="20% - Accent4 2 2 2 4 5" xfId="3208"/>
    <cellStyle name="20% - Accent4 2 2 2 5" xfId="3209"/>
    <cellStyle name="20% - Accent4 2 2 2 5 2" xfId="3210"/>
    <cellStyle name="20% - Accent4 2 2 2 5 2 2" xfId="3211"/>
    <cellStyle name="20% - Accent4 2 2 2 5 2 2 2" xfId="3212"/>
    <cellStyle name="20% - Accent4 2 2 2 5 2 3" xfId="3213"/>
    <cellStyle name="20% - Accent4 2 2 2 5 3" xfId="3214"/>
    <cellStyle name="20% - Accent4 2 2 2 5 3 2" xfId="3215"/>
    <cellStyle name="20% - Accent4 2 2 2 5 4" xfId="3216"/>
    <cellStyle name="20% - Accent4 2 2 2 6" xfId="3217"/>
    <cellStyle name="20% - Accent4 2 2 2 6 2" xfId="3218"/>
    <cellStyle name="20% - Accent4 2 2 2 6 2 2" xfId="3219"/>
    <cellStyle name="20% - Accent4 2 2 2 6 3" xfId="3220"/>
    <cellStyle name="20% - Accent4 2 2 2 7" xfId="3221"/>
    <cellStyle name="20% - Accent4 2 2 2 7 2" xfId="3222"/>
    <cellStyle name="20% - Accent4 2 2 2 8" xfId="3223"/>
    <cellStyle name="20% - Accent4 2 2 3" xfId="3224"/>
    <cellStyle name="20% - Accent4 2 2 3 2" xfId="3225"/>
    <cellStyle name="20% - Accent4 2 2 3 2 2" xfId="3226"/>
    <cellStyle name="20% - Accent4 2 2 3 2 2 2" xfId="3227"/>
    <cellStyle name="20% - Accent4 2 2 3 2 2 2 2" xfId="3228"/>
    <cellStyle name="20% - Accent4 2 2 3 2 2 2 2 2" xfId="3229"/>
    <cellStyle name="20% - Accent4 2 2 3 2 2 2 2 2 2" xfId="3230"/>
    <cellStyle name="20% - Accent4 2 2 3 2 2 2 2 3" xfId="3231"/>
    <cellStyle name="20% - Accent4 2 2 3 2 2 2 3" xfId="3232"/>
    <cellStyle name="20% - Accent4 2 2 3 2 2 2 3 2" xfId="3233"/>
    <cellStyle name="20% - Accent4 2 2 3 2 2 2 4" xfId="3234"/>
    <cellStyle name="20% - Accent4 2 2 3 2 2 3" xfId="3235"/>
    <cellStyle name="20% - Accent4 2 2 3 2 2 3 2" xfId="3236"/>
    <cellStyle name="20% - Accent4 2 2 3 2 2 3 2 2" xfId="3237"/>
    <cellStyle name="20% - Accent4 2 2 3 2 2 3 3" xfId="3238"/>
    <cellStyle name="20% - Accent4 2 2 3 2 2 4" xfId="3239"/>
    <cellStyle name="20% - Accent4 2 2 3 2 2 4 2" xfId="3240"/>
    <cellStyle name="20% - Accent4 2 2 3 2 2 5" xfId="3241"/>
    <cellStyle name="20% - Accent4 2 2 3 2 3" xfId="3242"/>
    <cellStyle name="20% - Accent4 2 2 3 2 3 2" xfId="3243"/>
    <cellStyle name="20% - Accent4 2 2 3 2 3 2 2" xfId="3244"/>
    <cellStyle name="20% - Accent4 2 2 3 2 3 2 2 2" xfId="3245"/>
    <cellStyle name="20% - Accent4 2 2 3 2 3 2 3" xfId="3246"/>
    <cellStyle name="20% - Accent4 2 2 3 2 3 3" xfId="3247"/>
    <cellStyle name="20% - Accent4 2 2 3 2 3 3 2" xfId="3248"/>
    <cellStyle name="20% - Accent4 2 2 3 2 3 4" xfId="3249"/>
    <cellStyle name="20% - Accent4 2 2 3 2 4" xfId="3250"/>
    <cellStyle name="20% - Accent4 2 2 3 2 4 2" xfId="3251"/>
    <cellStyle name="20% - Accent4 2 2 3 2 4 2 2" xfId="3252"/>
    <cellStyle name="20% - Accent4 2 2 3 2 4 3" xfId="3253"/>
    <cellStyle name="20% - Accent4 2 2 3 2 5" xfId="3254"/>
    <cellStyle name="20% - Accent4 2 2 3 2 5 2" xfId="3255"/>
    <cellStyle name="20% - Accent4 2 2 3 2 6" xfId="3256"/>
    <cellStyle name="20% - Accent4 2 2 3 3" xfId="3257"/>
    <cellStyle name="20% - Accent4 2 2 3 3 2" xfId="3258"/>
    <cellStyle name="20% - Accent4 2 2 3 3 2 2" xfId="3259"/>
    <cellStyle name="20% - Accent4 2 2 3 3 2 2 2" xfId="3260"/>
    <cellStyle name="20% - Accent4 2 2 3 3 2 2 2 2" xfId="3261"/>
    <cellStyle name="20% - Accent4 2 2 3 3 2 2 3" xfId="3262"/>
    <cellStyle name="20% - Accent4 2 2 3 3 2 3" xfId="3263"/>
    <cellStyle name="20% - Accent4 2 2 3 3 2 3 2" xfId="3264"/>
    <cellStyle name="20% - Accent4 2 2 3 3 2 4" xfId="3265"/>
    <cellStyle name="20% - Accent4 2 2 3 3 3" xfId="3266"/>
    <cellStyle name="20% - Accent4 2 2 3 3 3 2" xfId="3267"/>
    <cellStyle name="20% - Accent4 2 2 3 3 3 2 2" xfId="3268"/>
    <cellStyle name="20% - Accent4 2 2 3 3 3 3" xfId="3269"/>
    <cellStyle name="20% - Accent4 2 2 3 3 4" xfId="3270"/>
    <cellStyle name="20% - Accent4 2 2 3 3 4 2" xfId="3271"/>
    <cellStyle name="20% - Accent4 2 2 3 3 5" xfId="3272"/>
    <cellStyle name="20% - Accent4 2 2 3 4" xfId="3273"/>
    <cellStyle name="20% - Accent4 2 2 3 4 2" xfId="3274"/>
    <cellStyle name="20% - Accent4 2 2 3 4 2 2" xfId="3275"/>
    <cellStyle name="20% - Accent4 2 2 3 4 2 2 2" xfId="3276"/>
    <cellStyle name="20% - Accent4 2 2 3 4 2 3" xfId="3277"/>
    <cellStyle name="20% - Accent4 2 2 3 4 3" xfId="3278"/>
    <cellStyle name="20% - Accent4 2 2 3 4 3 2" xfId="3279"/>
    <cellStyle name="20% - Accent4 2 2 3 4 4" xfId="3280"/>
    <cellStyle name="20% - Accent4 2 2 3 5" xfId="3281"/>
    <cellStyle name="20% - Accent4 2 2 3 5 2" xfId="3282"/>
    <cellStyle name="20% - Accent4 2 2 3 5 2 2" xfId="3283"/>
    <cellStyle name="20% - Accent4 2 2 3 5 3" xfId="3284"/>
    <cellStyle name="20% - Accent4 2 2 3 6" xfId="3285"/>
    <cellStyle name="20% - Accent4 2 2 3 6 2" xfId="3286"/>
    <cellStyle name="20% - Accent4 2 2 3 7" xfId="3287"/>
    <cellStyle name="20% - Accent4 2 2 4" xfId="3288"/>
    <cellStyle name="20% - Accent4 2 2 4 2" xfId="3289"/>
    <cellStyle name="20% - Accent4 2 2 4 2 2" xfId="3290"/>
    <cellStyle name="20% - Accent4 2 2 4 2 2 2" xfId="3291"/>
    <cellStyle name="20% - Accent4 2 2 4 2 2 2 2" xfId="3292"/>
    <cellStyle name="20% - Accent4 2 2 4 2 2 2 2 2" xfId="3293"/>
    <cellStyle name="20% - Accent4 2 2 4 2 2 2 3" xfId="3294"/>
    <cellStyle name="20% - Accent4 2 2 4 2 2 3" xfId="3295"/>
    <cellStyle name="20% - Accent4 2 2 4 2 2 3 2" xfId="3296"/>
    <cellStyle name="20% - Accent4 2 2 4 2 2 4" xfId="3297"/>
    <cellStyle name="20% - Accent4 2 2 4 2 3" xfId="3298"/>
    <cellStyle name="20% - Accent4 2 2 4 2 3 2" xfId="3299"/>
    <cellStyle name="20% - Accent4 2 2 4 2 3 2 2" xfId="3300"/>
    <cellStyle name="20% - Accent4 2 2 4 2 3 3" xfId="3301"/>
    <cellStyle name="20% - Accent4 2 2 4 2 4" xfId="3302"/>
    <cellStyle name="20% - Accent4 2 2 4 2 4 2" xfId="3303"/>
    <cellStyle name="20% - Accent4 2 2 4 2 5" xfId="3304"/>
    <cellStyle name="20% - Accent4 2 2 4 3" xfId="3305"/>
    <cellStyle name="20% - Accent4 2 2 4 3 2" xfId="3306"/>
    <cellStyle name="20% - Accent4 2 2 4 3 2 2" xfId="3307"/>
    <cellStyle name="20% - Accent4 2 2 4 3 2 2 2" xfId="3308"/>
    <cellStyle name="20% - Accent4 2 2 4 3 2 3" xfId="3309"/>
    <cellStyle name="20% - Accent4 2 2 4 3 3" xfId="3310"/>
    <cellStyle name="20% - Accent4 2 2 4 3 3 2" xfId="3311"/>
    <cellStyle name="20% - Accent4 2 2 4 3 4" xfId="3312"/>
    <cellStyle name="20% - Accent4 2 2 4 4" xfId="3313"/>
    <cellStyle name="20% - Accent4 2 2 4 4 2" xfId="3314"/>
    <cellStyle name="20% - Accent4 2 2 4 4 2 2" xfId="3315"/>
    <cellStyle name="20% - Accent4 2 2 4 4 3" xfId="3316"/>
    <cellStyle name="20% - Accent4 2 2 4 5" xfId="3317"/>
    <cellStyle name="20% - Accent4 2 2 4 5 2" xfId="3318"/>
    <cellStyle name="20% - Accent4 2 2 4 6" xfId="3319"/>
    <cellStyle name="20% - Accent4 2 2 5" xfId="3320"/>
    <cellStyle name="20% - Accent4 2 2 5 2" xfId="3321"/>
    <cellStyle name="20% - Accent4 2 2 5 2 2" xfId="3322"/>
    <cellStyle name="20% - Accent4 2 2 5 2 2 2" xfId="3323"/>
    <cellStyle name="20% - Accent4 2 2 5 2 2 2 2" xfId="3324"/>
    <cellStyle name="20% - Accent4 2 2 5 2 2 3" xfId="3325"/>
    <cellStyle name="20% - Accent4 2 2 5 2 3" xfId="3326"/>
    <cellStyle name="20% - Accent4 2 2 5 2 3 2" xfId="3327"/>
    <cellStyle name="20% - Accent4 2 2 5 2 4" xfId="3328"/>
    <cellStyle name="20% - Accent4 2 2 5 3" xfId="3329"/>
    <cellStyle name="20% - Accent4 2 2 5 3 2" xfId="3330"/>
    <cellStyle name="20% - Accent4 2 2 5 3 2 2" xfId="3331"/>
    <cellStyle name="20% - Accent4 2 2 5 3 3" xfId="3332"/>
    <cellStyle name="20% - Accent4 2 2 5 4" xfId="3333"/>
    <cellStyle name="20% - Accent4 2 2 5 4 2" xfId="3334"/>
    <cellStyle name="20% - Accent4 2 2 5 5" xfId="3335"/>
    <cellStyle name="20% - Accent4 2 2 6" xfId="3336"/>
    <cellStyle name="20% - Accent4 2 2 6 2" xfId="3337"/>
    <cellStyle name="20% - Accent4 2 2 6 2 2" xfId="3338"/>
    <cellStyle name="20% - Accent4 2 2 6 2 2 2" xfId="3339"/>
    <cellStyle name="20% - Accent4 2 2 6 2 3" xfId="3340"/>
    <cellStyle name="20% - Accent4 2 2 6 3" xfId="3341"/>
    <cellStyle name="20% - Accent4 2 2 6 3 2" xfId="3342"/>
    <cellStyle name="20% - Accent4 2 2 6 4" xfId="3343"/>
    <cellStyle name="20% - Accent4 2 2 7" xfId="3344"/>
    <cellStyle name="20% - Accent4 2 2 7 2" xfId="3345"/>
    <cellStyle name="20% - Accent4 2 2 7 2 2" xfId="3346"/>
    <cellStyle name="20% - Accent4 2 2 7 3" xfId="3347"/>
    <cellStyle name="20% - Accent4 2 2 8" xfId="3348"/>
    <cellStyle name="20% - Accent4 2 2 8 2" xfId="3349"/>
    <cellStyle name="20% - Accent4 2 2 9" xfId="3350"/>
    <cellStyle name="20% - Accent4 2 3" xfId="3351"/>
    <cellStyle name="20% - Accent4 2 3 2" xfId="3352"/>
    <cellStyle name="20% - Accent4 2 3 2 2" xfId="3353"/>
    <cellStyle name="20% - Accent4 2 3 2 2 2" xfId="3354"/>
    <cellStyle name="20% - Accent4 2 3 2 2 2 2" xfId="3355"/>
    <cellStyle name="20% - Accent4 2 3 2 2 2 2 2" xfId="3356"/>
    <cellStyle name="20% - Accent4 2 3 2 2 2 2 2 2" xfId="3357"/>
    <cellStyle name="20% - Accent4 2 3 2 2 2 2 2 2 2" xfId="3358"/>
    <cellStyle name="20% - Accent4 2 3 2 2 2 2 2 3" xfId="3359"/>
    <cellStyle name="20% - Accent4 2 3 2 2 2 2 3" xfId="3360"/>
    <cellStyle name="20% - Accent4 2 3 2 2 2 2 3 2" xfId="3361"/>
    <cellStyle name="20% - Accent4 2 3 2 2 2 2 4" xfId="3362"/>
    <cellStyle name="20% - Accent4 2 3 2 2 2 3" xfId="3363"/>
    <cellStyle name="20% - Accent4 2 3 2 2 2 3 2" xfId="3364"/>
    <cellStyle name="20% - Accent4 2 3 2 2 2 3 2 2" xfId="3365"/>
    <cellStyle name="20% - Accent4 2 3 2 2 2 3 3" xfId="3366"/>
    <cellStyle name="20% - Accent4 2 3 2 2 2 4" xfId="3367"/>
    <cellStyle name="20% - Accent4 2 3 2 2 2 4 2" xfId="3368"/>
    <cellStyle name="20% - Accent4 2 3 2 2 2 5" xfId="3369"/>
    <cellStyle name="20% - Accent4 2 3 2 2 3" xfId="3370"/>
    <cellStyle name="20% - Accent4 2 3 2 2 3 2" xfId="3371"/>
    <cellStyle name="20% - Accent4 2 3 2 2 3 2 2" xfId="3372"/>
    <cellStyle name="20% - Accent4 2 3 2 2 3 2 2 2" xfId="3373"/>
    <cellStyle name="20% - Accent4 2 3 2 2 3 2 3" xfId="3374"/>
    <cellStyle name="20% - Accent4 2 3 2 2 3 3" xfId="3375"/>
    <cellStyle name="20% - Accent4 2 3 2 2 3 3 2" xfId="3376"/>
    <cellStyle name="20% - Accent4 2 3 2 2 3 4" xfId="3377"/>
    <cellStyle name="20% - Accent4 2 3 2 2 4" xfId="3378"/>
    <cellStyle name="20% - Accent4 2 3 2 2 4 2" xfId="3379"/>
    <cellStyle name="20% - Accent4 2 3 2 2 4 2 2" xfId="3380"/>
    <cellStyle name="20% - Accent4 2 3 2 2 4 3" xfId="3381"/>
    <cellStyle name="20% - Accent4 2 3 2 2 5" xfId="3382"/>
    <cellStyle name="20% - Accent4 2 3 2 2 5 2" xfId="3383"/>
    <cellStyle name="20% - Accent4 2 3 2 2 6" xfId="3384"/>
    <cellStyle name="20% - Accent4 2 3 2 3" xfId="3385"/>
    <cellStyle name="20% - Accent4 2 3 2 3 2" xfId="3386"/>
    <cellStyle name="20% - Accent4 2 3 2 3 2 2" xfId="3387"/>
    <cellStyle name="20% - Accent4 2 3 2 3 2 2 2" xfId="3388"/>
    <cellStyle name="20% - Accent4 2 3 2 3 2 2 2 2" xfId="3389"/>
    <cellStyle name="20% - Accent4 2 3 2 3 2 2 3" xfId="3390"/>
    <cellStyle name="20% - Accent4 2 3 2 3 2 3" xfId="3391"/>
    <cellStyle name="20% - Accent4 2 3 2 3 2 3 2" xfId="3392"/>
    <cellStyle name="20% - Accent4 2 3 2 3 2 4" xfId="3393"/>
    <cellStyle name="20% - Accent4 2 3 2 3 3" xfId="3394"/>
    <cellStyle name="20% - Accent4 2 3 2 3 3 2" xfId="3395"/>
    <cellStyle name="20% - Accent4 2 3 2 3 3 2 2" xfId="3396"/>
    <cellStyle name="20% - Accent4 2 3 2 3 3 3" xfId="3397"/>
    <cellStyle name="20% - Accent4 2 3 2 3 4" xfId="3398"/>
    <cellStyle name="20% - Accent4 2 3 2 3 4 2" xfId="3399"/>
    <cellStyle name="20% - Accent4 2 3 2 3 5" xfId="3400"/>
    <cellStyle name="20% - Accent4 2 3 2 4" xfId="3401"/>
    <cellStyle name="20% - Accent4 2 3 2 4 2" xfId="3402"/>
    <cellStyle name="20% - Accent4 2 3 2 4 2 2" xfId="3403"/>
    <cellStyle name="20% - Accent4 2 3 2 4 2 2 2" xfId="3404"/>
    <cellStyle name="20% - Accent4 2 3 2 4 2 3" xfId="3405"/>
    <cellStyle name="20% - Accent4 2 3 2 4 3" xfId="3406"/>
    <cellStyle name="20% - Accent4 2 3 2 4 3 2" xfId="3407"/>
    <cellStyle name="20% - Accent4 2 3 2 4 4" xfId="3408"/>
    <cellStyle name="20% - Accent4 2 3 2 5" xfId="3409"/>
    <cellStyle name="20% - Accent4 2 3 2 5 2" xfId="3410"/>
    <cellStyle name="20% - Accent4 2 3 2 5 2 2" xfId="3411"/>
    <cellStyle name="20% - Accent4 2 3 2 5 3" xfId="3412"/>
    <cellStyle name="20% - Accent4 2 3 2 6" xfId="3413"/>
    <cellStyle name="20% - Accent4 2 3 2 6 2" xfId="3414"/>
    <cellStyle name="20% - Accent4 2 3 2 7" xfId="3415"/>
    <cellStyle name="20% - Accent4 2 3 3" xfId="3416"/>
    <cellStyle name="20% - Accent4 2 3 3 2" xfId="3417"/>
    <cellStyle name="20% - Accent4 2 3 3 2 2" xfId="3418"/>
    <cellStyle name="20% - Accent4 2 3 3 2 2 2" xfId="3419"/>
    <cellStyle name="20% - Accent4 2 3 3 2 2 2 2" xfId="3420"/>
    <cellStyle name="20% - Accent4 2 3 3 2 2 2 2 2" xfId="3421"/>
    <cellStyle name="20% - Accent4 2 3 3 2 2 2 3" xfId="3422"/>
    <cellStyle name="20% - Accent4 2 3 3 2 2 3" xfId="3423"/>
    <cellStyle name="20% - Accent4 2 3 3 2 2 3 2" xfId="3424"/>
    <cellStyle name="20% - Accent4 2 3 3 2 2 4" xfId="3425"/>
    <cellStyle name="20% - Accent4 2 3 3 2 3" xfId="3426"/>
    <cellStyle name="20% - Accent4 2 3 3 2 3 2" xfId="3427"/>
    <cellStyle name="20% - Accent4 2 3 3 2 3 2 2" xfId="3428"/>
    <cellStyle name="20% - Accent4 2 3 3 2 3 3" xfId="3429"/>
    <cellStyle name="20% - Accent4 2 3 3 2 4" xfId="3430"/>
    <cellStyle name="20% - Accent4 2 3 3 2 4 2" xfId="3431"/>
    <cellStyle name="20% - Accent4 2 3 3 2 5" xfId="3432"/>
    <cellStyle name="20% - Accent4 2 3 3 3" xfId="3433"/>
    <cellStyle name="20% - Accent4 2 3 3 3 2" xfId="3434"/>
    <cellStyle name="20% - Accent4 2 3 3 3 2 2" xfId="3435"/>
    <cellStyle name="20% - Accent4 2 3 3 3 2 2 2" xfId="3436"/>
    <cellStyle name="20% - Accent4 2 3 3 3 2 3" xfId="3437"/>
    <cellStyle name="20% - Accent4 2 3 3 3 3" xfId="3438"/>
    <cellStyle name="20% - Accent4 2 3 3 3 3 2" xfId="3439"/>
    <cellStyle name="20% - Accent4 2 3 3 3 4" xfId="3440"/>
    <cellStyle name="20% - Accent4 2 3 3 4" xfId="3441"/>
    <cellStyle name="20% - Accent4 2 3 3 4 2" xfId="3442"/>
    <cellStyle name="20% - Accent4 2 3 3 4 2 2" xfId="3443"/>
    <cellStyle name="20% - Accent4 2 3 3 4 3" xfId="3444"/>
    <cellStyle name="20% - Accent4 2 3 3 5" xfId="3445"/>
    <cellStyle name="20% - Accent4 2 3 3 5 2" xfId="3446"/>
    <cellStyle name="20% - Accent4 2 3 3 6" xfId="3447"/>
    <cellStyle name="20% - Accent4 2 3 4" xfId="3448"/>
    <cellStyle name="20% - Accent4 2 3 4 2" xfId="3449"/>
    <cellStyle name="20% - Accent4 2 3 4 2 2" xfId="3450"/>
    <cellStyle name="20% - Accent4 2 3 4 2 2 2" xfId="3451"/>
    <cellStyle name="20% - Accent4 2 3 4 2 2 2 2" xfId="3452"/>
    <cellStyle name="20% - Accent4 2 3 4 2 2 3" xfId="3453"/>
    <cellStyle name="20% - Accent4 2 3 4 2 3" xfId="3454"/>
    <cellStyle name="20% - Accent4 2 3 4 2 3 2" xfId="3455"/>
    <cellStyle name="20% - Accent4 2 3 4 2 4" xfId="3456"/>
    <cellStyle name="20% - Accent4 2 3 4 3" xfId="3457"/>
    <cellStyle name="20% - Accent4 2 3 4 3 2" xfId="3458"/>
    <cellStyle name="20% - Accent4 2 3 4 3 2 2" xfId="3459"/>
    <cellStyle name="20% - Accent4 2 3 4 3 3" xfId="3460"/>
    <cellStyle name="20% - Accent4 2 3 4 4" xfId="3461"/>
    <cellStyle name="20% - Accent4 2 3 4 4 2" xfId="3462"/>
    <cellStyle name="20% - Accent4 2 3 4 5" xfId="3463"/>
    <cellStyle name="20% - Accent4 2 3 5" xfId="3464"/>
    <cellStyle name="20% - Accent4 2 3 5 2" xfId="3465"/>
    <cellStyle name="20% - Accent4 2 3 5 2 2" xfId="3466"/>
    <cellStyle name="20% - Accent4 2 3 5 2 2 2" xfId="3467"/>
    <cellStyle name="20% - Accent4 2 3 5 2 3" xfId="3468"/>
    <cellStyle name="20% - Accent4 2 3 5 3" xfId="3469"/>
    <cellStyle name="20% - Accent4 2 3 5 3 2" xfId="3470"/>
    <cellStyle name="20% - Accent4 2 3 5 4" xfId="3471"/>
    <cellStyle name="20% - Accent4 2 3 6" xfId="3472"/>
    <cellStyle name="20% - Accent4 2 3 6 2" xfId="3473"/>
    <cellStyle name="20% - Accent4 2 3 6 2 2" xfId="3474"/>
    <cellStyle name="20% - Accent4 2 3 6 3" xfId="3475"/>
    <cellStyle name="20% - Accent4 2 3 7" xfId="3476"/>
    <cellStyle name="20% - Accent4 2 3 7 2" xfId="3477"/>
    <cellStyle name="20% - Accent4 2 3 8" xfId="3478"/>
    <cellStyle name="20% - Accent4 2 4" xfId="3479"/>
    <cellStyle name="20% - Accent4 2 4 2" xfId="3480"/>
    <cellStyle name="20% - Accent4 2 4 2 2" xfId="3481"/>
    <cellStyle name="20% - Accent4 2 4 2 2 2" xfId="3482"/>
    <cellStyle name="20% - Accent4 2 4 2 2 2 2" xfId="3483"/>
    <cellStyle name="20% - Accent4 2 4 2 2 2 2 2" xfId="3484"/>
    <cellStyle name="20% - Accent4 2 4 2 2 2 2 2 2" xfId="3485"/>
    <cellStyle name="20% - Accent4 2 4 2 2 2 2 3" xfId="3486"/>
    <cellStyle name="20% - Accent4 2 4 2 2 2 3" xfId="3487"/>
    <cellStyle name="20% - Accent4 2 4 2 2 2 3 2" xfId="3488"/>
    <cellStyle name="20% - Accent4 2 4 2 2 2 4" xfId="3489"/>
    <cellStyle name="20% - Accent4 2 4 2 2 3" xfId="3490"/>
    <cellStyle name="20% - Accent4 2 4 2 2 3 2" xfId="3491"/>
    <cellStyle name="20% - Accent4 2 4 2 2 3 2 2" xfId="3492"/>
    <cellStyle name="20% - Accent4 2 4 2 2 3 3" xfId="3493"/>
    <cellStyle name="20% - Accent4 2 4 2 2 4" xfId="3494"/>
    <cellStyle name="20% - Accent4 2 4 2 2 4 2" xfId="3495"/>
    <cellStyle name="20% - Accent4 2 4 2 2 5" xfId="3496"/>
    <cellStyle name="20% - Accent4 2 4 2 3" xfId="3497"/>
    <cellStyle name="20% - Accent4 2 4 2 3 2" xfId="3498"/>
    <cellStyle name="20% - Accent4 2 4 2 3 2 2" xfId="3499"/>
    <cellStyle name="20% - Accent4 2 4 2 3 2 2 2" xfId="3500"/>
    <cellStyle name="20% - Accent4 2 4 2 3 2 3" xfId="3501"/>
    <cellStyle name="20% - Accent4 2 4 2 3 3" xfId="3502"/>
    <cellStyle name="20% - Accent4 2 4 2 3 3 2" xfId="3503"/>
    <cellStyle name="20% - Accent4 2 4 2 3 4" xfId="3504"/>
    <cellStyle name="20% - Accent4 2 4 2 4" xfId="3505"/>
    <cellStyle name="20% - Accent4 2 4 2 4 2" xfId="3506"/>
    <cellStyle name="20% - Accent4 2 4 2 4 2 2" xfId="3507"/>
    <cellStyle name="20% - Accent4 2 4 2 4 3" xfId="3508"/>
    <cellStyle name="20% - Accent4 2 4 2 5" xfId="3509"/>
    <cellStyle name="20% - Accent4 2 4 2 5 2" xfId="3510"/>
    <cellStyle name="20% - Accent4 2 4 2 6" xfId="3511"/>
    <cellStyle name="20% - Accent4 2 4 3" xfId="3512"/>
    <cellStyle name="20% - Accent4 2 4 3 2" xfId="3513"/>
    <cellStyle name="20% - Accent4 2 4 3 2 2" xfId="3514"/>
    <cellStyle name="20% - Accent4 2 4 3 2 2 2" xfId="3515"/>
    <cellStyle name="20% - Accent4 2 4 3 2 2 2 2" xfId="3516"/>
    <cellStyle name="20% - Accent4 2 4 3 2 2 3" xfId="3517"/>
    <cellStyle name="20% - Accent4 2 4 3 2 3" xfId="3518"/>
    <cellStyle name="20% - Accent4 2 4 3 2 3 2" xfId="3519"/>
    <cellStyle name="20% - Accent4 2 4 3 2 4" xfId="3520"/>
    <cellStyle name="20% - Accent4 2 4 3 3" xfId="3521"/>
    <cellStyle name="20% - Accent4 2 4 3 3 2" xfId="3522"/>
    <cellStyle name="20% - Accent4 2 4 3 3 2 2" xfId="3523"/>
    <cellStyle name="20% - Accent4 2 4 3 3 3" xfId="3524"/>
    <cellStyle name="20% - Accent4 2 4 3 4" xfId="3525"/>
    <cellStyle name="20% - Accent4 2 4 3 4 2" xfId="3526"/>
    <cellStyle name="20% - Accent4 2 4 3 5" xfId="3527"/>
    <cellStyle name="20% - Accent4 2 4 4" xfId="3528"/>
    <cellStyle name="20% - Accent4 2 4 4 2" xfId="3529"/>
    <cellStyle name="20% - Accent4 2 4 4 2 2" xfId="3530"/>
    <cellStyle name="20% - Accent4 2 4 4 2 2 2" xfId="3531"/>
    <cellStyle name="20% - Accent4 2 4 4 2 3" xfId="3532"/>
    <cellStyle name="20% - Accent4 2 4 4 3" xfId="3533"/>
    <cellStyle name="20% - Accent4 2 4 4 3 2" xfId="3534"/>
    <cellStyle name="20% - Accent4 2 4 4 4" xfId="3535"/>
    <cellStyle name="20% - Accent4 2 4 5" xfId="3536"/>
    <cellStyle name="20% - Accent4 2 4 5 2" xfId="3537"/>
    <cellStyle name="20% - Accent4 2 4 5 2 2" xfId="3538"/>
    <cellStyle name="20% - Accent4 2 4 5 3" xfId="3539"/>
    <cellStyle name="20% - Accent4 2 4 6" xfId="3540"/>
    <cellStyle name="20% - Accent4 2 4 6 2" xfId="3541"/>
    <cellStyle name="20% - Accent4 2 4 7" xfId="3542"/>
    <cellStyle name="20% - Accent4 2 5" xfId="3543"/>
    <cellStyle name="20% - Accent4 2 5 2" xfId="3544"/>
    <cellStyle name="20% - Accent4 2 5 2 2" xfId="3545"/>
    <cellStyle name="20% - Accent4 2 5 2 2 2" xfId="3546"/>
    <cellStyle name="20% - Accent4 2 5 2 2 2 2" xfId="3547"/>
    <cellStyle name="20% - Accent4 2 5 2 2 2 2 2" xfId="3548"/>
    <cellStyle name="20% - Accent4 2 5 2 2 2 3" xfId="3549"/>
    <cellStyle name="20% - Accent4 2 5 2 2 3" xfId="3550"/>
    <cellStyle name="20% - Accent4 2 5 2 2 3 2" xfId="3551"/>
    <cellStyle name="20% - Accent4 2 5 2 2 4" xfId="3552"/>
    <cellStyle name="20% - Accent4 2 5 2 3" xfId="3553"/>
    <cellStyle name="20% - Accent4 2 5 2 3 2" xfId="3554"/>
    <cellStyle name="20% - Accent4 2 5 2 3 2 2" xfId="3555"/>
    <cellStyle name="20% - Accent4 2 5 2 3 3" xfId="3556"/>
    <cellStyle name="20% - Accent4 2 5 2 4" xfId="3557"/>
    <cellStyle name="20% - Accent4 2 5 2 4 2" xfId="3558"/>
    <cellStyle name="20% - Accent4 2 5 2 5" xfId="3559"/>
    <cellStyle name="20% - Accent4 2 5 3" xfId="3560"/>
    <cellStyle name="20% - Accent4 2 5 3 2" xfId="3561"/>
    <cellStyle name="20% - Accent4 2 5 3 2 2" xfId="3562"/>
    <cellStyle name="20% - Accent4 2 5 3 2 2 2" xfId="3563"/>
    <cellStyle name="20% - Accent4 2 5 3 2 3" xfId="3564"/>
    <cellStyle name="20% - Accent4 2 5 3 3" xfId="3565"/>
    <cellStyle name="20% - Accent4 2 5 3 3 2" xfId="3566"/>
    <cellStyle name="20% - Accent4 2 5 3 4" xfId="3567"/>
    <cellStyle name="20% - Accent4 2 5 4" xfId="3568"/>
    <cellStyle name="20% - Accent4 2 5 4 2" xfId="3569"/>
    <cellStyle name="20% - Accent4 2 5 4 2 2" xfId="3570"/>
    <cellStyle name="20% - Accent4 2 5 4 3" xfId="3571"/>
    <cellStyle name="20% - Accent4 2 5 5" xfId="3572"/>
    <cellStyle name="20% - Accent4 2 5 5 2" xfId="3573"/>
    <cellStyle name="20% - Accent4 2 5 6" xfId="3574"/>
    <cellStyle name="20% - Accent4 2 6" xfId="3575"/>
    <cellStyle name="20% - Accent4 2 6 2" xfId="3576"/>
    <cellStyle name="20% - Accent4 2 6 2 2" xfId="3577"/>
    <cellStyle name="20% - Accent4 2 6 2 2 2" xfId="3578"/>
    <cellStyle name="20% - Accent4 2 6 2 2 2 2" xfId="3579"/>
    <cellStyle name="20% - Accent4 2 6 2 2 3" xfId="3580"/>
    <cellStyle name="20% - Accent4 2 6 2 3" xfId="3581"/>
    <cellStyle name="20% - Accent4 2 6 2 3 2" xfId="3582"/>
    <cellStyle name="20% - Accent4 2 6 2 4" xfId="3583"/>
    <cellStyle name="20% - Accent4 2 6 3" xfId="3584"/>
    <cellStyle name="20% - Accent4 2 6 3 2" xfId="3585"/>
    <cellStyle name="20% - Accent4 2 6 3 2 2" xfId="3586"/>
    <cellStyle name="20% - Accent4 2 6 3 3" xfId="3587"/>
    <cellStyle name="20% - Accent4 2 6 4" xfId="3588"/>
    <cellStyle name="20% - Accent4 2 6 4 2" xfId="3589"/>
    <cellStyle name="20% - Accent4 2 6 5" xfId="3590"/>
    <cellStyle name="20% - Accent4 2 7" xfId="3591"/>
    <cellStyle name="20% - Accent4 2 7 2" xfId="3592"/>
    <cellStyle name="20% - Accent4 2 7 2 2" xfId="3593"/>
    <cellStyle name="20% - Accent4 2 7 2 2 2" xfId="3594"/>
    <cellStyle name="20% - Accent4 2 7 2 3" xfId="3595"/>
    <cellStyle name="20% - Accent4 2 7 3" xfId="3596"/>
    <cellStyle name="20% - Accent4 2 7 3 2" xfId="3597"/>
    <cellStyle name="20% - Accent4 2 7 4" xfId="3598"/>
    <cellStyle name="20% - Accent4 2 8" xfId="3599"/>
    <cellStyle name="20% - Accent4 2 8 2" xfId="3600"/>
    <cellStyle name="20% - Accent4 2 8 2 2" xfId="3601"/>
    <cellStyle name="20% - Accent4 2 8 3" xfId="3602"/>
    <cellStyle name="20% - Accent4 2 9" xfId="3603"/>
    <cellStyle name="20% - Accent4 2 9 2" xfId="3604"/>
    <cellStyle name="20% - Accent4 3" xfId="3605"/>
    <cellStyle name="20% - Accent4 3 2" xfId="3606"/>
    <cellStyle name="20% - Accent4 3 2 2" xfId="3607"/>
    <cellStyle name="20% - Accent4 3 2 2 2" xfId="3608"/>
    <cellStyle name="20% - Accent4 3 2 2 2 2" xfId="3609"/>
    <cellStyle name="20% - Accent4 3 2 2 2 2 2" xfId="3610"/>
    <cellStyle name="20% - Accent4 3 2 2 2 2 2 2" xfId="3611"/>
    <cellStyle name="20% - Accent4 3 2 2 2 2 2 2 2" xfId="3612"/>
    <cellStyle name="20% - Accent4 3 2 2 2 2 2 2 2 2" xfId="3613"/>
    <cellStyle name="20% - Accent4 3 2 2 2 2 2 2 3" xfId="3614"/>
    <cellStyle name="20% - Accent4 3 2 2 2 2 2 3" xfId="3615"/>
    <cellStyle name="20% - Accent4 3 2 2 2 2 2 3 2" xfId="3616"/>
    <cellStyle name="20% - Accent4 3 2 2 2 2 2 4" xfId="3617"/>
    <cellStyle name="20% - Accent4 3 2 2 2 2 3" xfId="3618"/>
    <cellStyle name="20% - Accent4 3 2 2 2 2 3 2" xfId="3619"/>
    <cellStyle name="20% - Accent4 3 2 2 2 2 3 2 2" xfId="3620"/>
    <cellStyle name="20% - Accent4 3 2 2 2 2 3 3" xfId="3621"/>
    <cellStyle name="20% - Accent4 3 2 2 2 2 4" xfId="3622"/>
    <cellStyle name="20% - Accent4 3 2 2 2 2 4 2" xfId="3623"/>
    <cellStyle name="20% - Accent4 3 2 2 2 2 5" xfId="3624"/>
    <cellStyle name="20% - Accent4 3 2 2 2 3" xfId="3625"/>
    <cellStyle name="20% - Accent4 3 2 2 2 3 2" xfId="3626"/>
    <cellStyle name="20% - Accent4 3 2 2 2 3 2 2" xfId="3627"/>
    <cellStyle name="20% - Accent4 3 2 2 2 3 2 2 2" xfId="3628"/>
    <cellStyle name="20% - Accent4 3 2 2 2 3 2 3" xfId="3629"/>
    <cellStyle name="20% - Accent4 3 2 2 2 3 3" xfId="3630"/>
    <cellStyle name="20% - Accent4 3 2 2 2 3 3 2" xfId="3631"/>
    <cellStyle name="20% - Accent4 3 2 2 2 3 4" xfId="3632"/>
    <cellStyle name="20% - Accent4 3 2 2 2 4" xfId="3633"/>
    <cellStyle name="20% - Accent4 3 2 2 2 4 2" xfId="3634"/>
    <cellStyle name="20% - Accent4 3 2 2 2 4 2 2" xfId="3635"/>
    <cellStyle name="20% - Accent4 3 2 2 2 4 3" xfId="3636"/>
    <cellStyle name="20% - Accent4 3 2 2 2 5" xfId="3637"/>
    <cellStyle name="20% - Accent4 3 2 2 2 5 2" xfId="3638"/>
    <cellStyle name="20% - Accent4 3 2 2 2 6" xfId="3639"/>
    <cellStyle name="20% - Accent4 3 2 2 3" xfId="3640"/>
    <cellStyle name="20% - Accent4 3 2 2 3 2" xfId="3641"/>
    <cellStyle name="20% - Accent4 3 2 2 3 2 2" xfId="3642"/>
    <cellStyle name="20% - Accent4 3 2 2 3 2 2 2" xfId="3643"/>
    <cellStyle name="20% - Accent4 3 2 2 3 2 2 2 2" xfId="3644"/>
    <cellStyle name="20% - Accent4 3 2 2 3 2 2 3" xfId="3645"/>
    <cellStyle name="20% - Accent4 3 2 2 3 2 3" xfId="3646"/>
    <cellStyle name="20% - Accent4 3 2 2 3 2 3 2" xfId="3647"/>
    <cellStyle name="20% - Accent4 3 2 2 3 2 4" xfId="3648"/>
    <cellStyle name="20% - Accent4 3 2 2 3 3" xfId="3649"/>
    <cellStyle name="20% - Accent4 3 2 2 3 3 2" xfId="3650"/>
    <cellStyle name="20% - Accent4 3 2 2 3 3 2 2" xfId="3651"/>
    <cellStyle name="20% - Accent4 3 2 2 3 3 3" xfId="3652"/>
    <cellStyle name="20% - Accent4 3 2 2 3 4" xfId="3653"/>
    <cellStyle name="20% - Accent4 3 2 2 3 4 2" xfId="3654"/>
    <cellStyle name="20% - Accent4 3 2 2 3 5" xfId="3655"/>
    <cellStyle name="20% - Accent4 3 2 2 4" xfId="3656"/>
    <cellStyle name="20% - Accent4 3 2 2 4 2" xfId="3657"/>
    <cellStyle name="20% - Accent4 3 2 2 4 2 2" xfId="3658"/>
    <cellStyle name="20% - Accent4 3 2 2 4 2 2 2" xfId="3659"/>
    <cellStyle name="20% - Accent4 3 2 2 4 2 3" xfId="3660"/>
    <cellStyle name="20% - Accent4 3 2 2 4 3" xfId="3661"/>
    <cellStyle name="20% - Accent4 3 2 2 4 3 2" xfId="3662"/>
    <cellStyle name="20% - Accent4 3 2 2 4 4" xfId="3663"/>
    <cellStyle name="20% - Accent4 3 2 2 5" xfId="3664"/>
    <cellStyle name="20% - Accent4 3 2 2 5 2" xfId="3665"/>
    <cellStyle name="20% - Accent4 3 2 2 5 2 2" xfId="3666"/>
    <cellStyle name="20% - Accent4 3 2 2 5 3" xfId="3667"/>
    <cellStyle name="20% - Accent4 3 2 2 6" xfId="3668"/>
    <cellStyle name="20% - Accent4 3 2 2 6 2" xfId="3669"/>
    <cellStyle name="20% - Accent4 3 2 2 7" xfId="3670"/>
    <cellStyle name="20% - Accent4 3 2 3" xfId="3671"/>
    <cellStyle name="20% - Accent4 3 2 3 2" xfId="3672"/>
    <cellStyle name="20% - Accent4 3 2 3 2 2" xfId="3673"/>
    <cellStyle name="20% - Accent4 3 2 3 2 2 2" xfId="3674"/>
    <cellStyle name="20% - Accent4 3 2 3 2 2 2 2" xfId="3675"/>
    <cellStyle name="20% - Accent4 3 2 3 2 2 2 2 2" xfId="3676"/>
    <cellStyle name="20% - Accent4 3 2 3 2 2 2 3" xfId="3677"/>
    <cellStyle name="20% - Accent4 3 2 3 2 2 3" xfId="3678"/>
    <cellStyle name="20% - Accent4 3 2 3 2 2 3 2" xfId="3679"/>
    <cellStyle name="20% - Accent4 3 2 3 2 2 4" xfId="3680"/>
    <cellStyle name="20% - Accent4 3 2 3 2 3" xfId="3681"/>
    <cellStyle name="20% - Accent4 3 2 3 2 3 2" xfId="3682"/>
    <cellStyle name="20% - Accent4 3 2 3 2 3 2 2" xfId="3683"/>
    <cellStyle name="20% - Accent4 3 2 3 2 3 3" xfId="3684"/>
    <cellStyle name="20% - Accent4 3 2 3 2 4" xfId="3685"/>
    <cellStyle name="20% - Accent4 3 2 3 2 4 2" xfId="3686"/>
    <cellStyle name="20% - Accent4 3 2 3 2 5" xfId="3687"/>
    <cellStyle name="20% - Accent4 3 2 3 3" xfId="3688"/>
    <cellStyle name="20% - Accent4 3 2 3 3 2" xfId="3689"/>
    <cellStyle name="20% - Accent4 3 2 3 3 2 2" xfId="3690"/>
    <cellStyle name="20% - Accent4 3 2 3 3 2 2 2" xfId="3691"/>
    <cellStyle name="20% - Accent4 3 2 3 3 2 3" xfId="3692"/>
    <cellStyle name="20% - Accent4 3 2 3 3 3" xfId="3693"/>
    <cellStyle name="20% - Accent4 3 2 3 3 3 2" xfId="3694"/>
    <cellStyle name="20% - Accent4 3 2 3 3 4" xfId="3695"/>
    <cellStyle name="20% - Accent4 3 2 3 4" xfId="3696"/>
    <cellStyle name="20% - Accent4 3 2 3 4 2" xfId="3697"/>
    <cellStyle name="20% - Accent4 3 2 3 4 2 2" xfId="3698"/>
    <cellStyle name="20% - Accent4 3 2 3 4 3" xfId="3699"/>
    <cellStyle name="20% - Accent4 3 2 3 5" xfId="3700"/>
    <cellStyle name="20% - Accent4 3 2 3 5 2" xfId="3701"/>
    <cellStyle name="20% - Accent4 3 2 3 6" xfId="3702"/>
    <cellStyle name="20% - Accent4 3 2 4" xfId="3703"/>
    <cellStyle name="20% - Accent4 3 2 4 2" xfId="3704"/>
    <cellStyle name="20% - Accent4 3 2 4 2 2" xfId="3705"/>
    <cellStyle name="20% - Accent4 3 2 4 2 2 2" xfId="3706"/>
    <cellStyle name="20% - Accent4 3 2 4 2 2 2 2" xfId="3707"/>
    <cellStyle name="20% - Accent4 3 2 4 2 2 3" xfId="3708"/>
    <cellStyle name="20% - Accent4 3 2 4 2 3" xfId="3709"/>
    <cellStyle name="20% - Accent4 3 2 4 2 3 2" xfId="3710"/>
    <cellStyle name="20% - Accent4 3 2 4 2 4" xfId="3711"/>
    <cellStyle name="20% - Accent4 3 2 4 3" xfId="3712"/>
    <cellStyle name="20% - Accent4 3 2 4 3 2" xfId="3713"/>
    <cellStyle name="20% - Accent4 3 2 4 3 2 2" xfId="3714"/>
    <cellStyle name="20% - Accent4 3 2 4 3 3" xfId="3715"/>
    <cellStyle name="20% - Accent4 3 2 4 4" xfId="3716"/>
    <cellStyle name="20% - Accent4 3 2 4 4 2" xfId="3717"/>
    <cellStyle name="20% - Accent4 3 2 4 5" xfId="3718"/>
    <cellStyle name="20% - Accent4 3 2 5" xfId="3719"/>
    <cellStyle name="20% - Accent4 3 2 5 2" xfId="3720"/>
    <cellStyle name="20% - Accent4 3 2 5 2 2" xfId="3721"/>
    <cellStyle name="20% - Accent4 3 2 5 2 2 2" xfId="3722"/>
    <cellStyle name="20% - Accent4 3 2 5 2 3" xfId="3723"/>
    <cellStyle name="20% - Accent4 3 2 5 3" xfId="3724"/>
    <cellStyle name="20% - Accent4 3 2 5 3 2" xfId="3725"/>
    <cellStyle name="20% - Accent4 3 2 5 4" xfId="3726"/>
    <cellStyle name="20% - Accent4 3 2 6" xfId="3727"/>
    <cellStyle name="20% - Accent4 3 2 6 2" xfId="3728"/>
    <cellStyle name="20% - Accent4 3 2 6 2 2" xfId="3729"/>
    <cellStyle name="20% - Accent4 3 2 6 3" xfId="3730"/>
    <cellStyle name="20% - Accent4 3 2 7" xfId="3731"/>
    <cellStyle name="20% - Accent4 3 2 7 2" xfId="3732"/>
    <cellStyle name="20% - Accent4 3 2 8" xfId="3733"/>
    <cellStyle name="20% - Accent4 3 3" xfId="3734"/>
    <cellStyle name="20% - Accent4 3 3 2" xfId="3735"/>
    <cellStyle name="20% - Accent4 3 3 2 2" xfId="3736"/>
    <cellStyle name="20% - Accent4 3 3 2 2 2" xfId="3737"/>
    <cellStyle name="20% - Accent4 3 3 2 2 2 2" xfId="3738"/>
    <cellStyle name="20% - Accent4 3 3 2 2 2 2 2" xfId="3739"/>
    <cellStyle name="20% - Accent4 3 3 2 2 2 2 2 2" xfId="3740"/>
    <cellStyle name="20% - Accent4 3 3 2 2 2 2 3" xfId="3741"/>
    <cellStyle name="20% - Accent4 3 3 2 2 2 3" xfId="3742"/>
    <cellStyle name="20% - Accent4 3 3 2 2 2 3 2" xfId="3743"/>
    <cellStyle name="20% - Accent4 3 3 2 2 2 4" xfId="3744"/>
    <cellStyle name="20% - Accent4 3 3 2 2 3" xfId="3745"/>
    <cellStyle name="20% - Accent4 3 3 2 2 3 2" xfId="3746"/>
    <cellStyle name="20% - Accent4 3 3 2 2 3 2 2" xfId="3747"/>
    <cellStyle name="20% - Accent4 3 3 2 2 3 3" xfId="3748"/>
    <cellStyle name="20% - Accent4 3 3 2 2 4" xfId="3749"/>
    <cellStyle name="20% - Accent4 3 3 2 2 4 2" xfId="3750"/>
    <cellStyle name="20% - Accent4 3 3 2 2 5" xfId="3751"/>
    <cellStyle name="20% - Accent4 3 3 2 3" xfId="3752"/>
    <cellStyle name="20% - Accent4 3 3 2 3 2" xfId="3753"/>
    <cellStyle name="20% - Accent4 3 3 2 3 2 2" xfId="3754"/>
    <cellStyle name="20% - Accent4 3 3 2 3 2 2 2" xfId="3755"/>
    <cellStyle name="20% - Accent4 3 3 2 3 2 3" xfId="3756"/>
    <cellStyle name="20% - Accent4 3 3 2 3 3" xfId="3757"/>
    <cellStyle name="20% - Accent4 3 3 2 3 3 2" xfId="3758"/>
    <cellStyle name="20% - Accent4 3 3 2 3 4" xfId="3759"/>
    <cellStyle name="20% - Accent4 3 3 2 4" xfId="3760"/>
    <cellStyle name="20% - Accent4 3 3 2 4 2" xfId="3761"/>
    <cellStyle name="20% - Accent4 3 3 2 4 2 2" xfId="3762"/>
    <cellStyle name="20% - Accent4 3 3 2 4 3" xfId="3763"/>
    <cellStyle name="20% - Accent4 3 3 2 5" xfId="3764"/>
    <cellStyle name="20% - Accent4 3 3 2 5 2" xfId="3765"/>
    <cellStyle name="20% - Accent4 3 3 2 6" xfId="3766"/>
    <cellStyle name="20% - Accent4 3 3 3" xfId="3767"/>
    <cellStyle name="20% - Accent4 3 3 3 2" xfId="3768"/>
    <cellStyle name="20% - Accent4 3 3 3 2 2" xfId="3769"/>
    <cellStyle name="20% - Accent4 3 3 3 2 2 2" xfId="3770"/>
    <cellStyle name="20% - Accent4 3 3 3 2 2 2 2" xfId="3771"/>
    <cellStyle name="20% - Accent4 3 3 3 2 2 3" xfId="3772"/>
    <cellStyle name="20% - Accent4 3 3 3 2 3" xfId="3773"/>
    <cellStyle name="20% - Accent4 3 3 3 2 3 2" xfId="3774"/>
    <cellStyle name="20% - Accent4 3 3 3 2 4" xfId="3775"/>
    <cellStyle name="20% - Accent4 3 3 3 3" xfId="3776"/>
    <cellStyle name="20% - Accent4 3 3 3 3 2" xfId="3777"/>
    <cellStyle name="20% - Accent4 3 3 3 3 2 2" xfId="3778"/>
    <cellStyle name="20% - Accent4 3 3 3 3 3" xfId="3779"/>
    <cellStyle name="20% - Accent4 3 3 3 4" xfId="3780"/>
    <cellStyle name="20% - Accent4 3 3 3 4 2" xfId="3781"/>
    <cellStyle name="20% - Accent4 3 3 3 5" xfId="3782"/>
    <cellStyle name="20% - Accent4 3 3 4" xfId="3783"/>
    <cellStyle name="20% - Accent4 3 3 4 2" xfId="3784"/>
    <cellStyle name="20% - Accent4 3 3 4 2 2" xfId="3785"/>
    <cellStyle name="20% - Accent4 3 3 4 2 2 2" xfId="3786"/>
    <cellStyle name="20% - Accent4 3 3 4 2 3" xfId="3787"/>
    <cellStyle name="20% - Accent4 3 3 4 3" xfId="3788"/>
    <cellStyle name="20% - Accent4 3 3 4 3 2" xfId="3789"/>
    <cellStyle name="20% - Accent4 3 3 4 4" xfId="3790"/>
    <cellStyle name="20% - Accent4 3 3 5" xfId="3791"/>
    <cellStyle name="20% - Accent4 3 3 5 2" xfId="3792"/>
    <cellStyle name="20% - Accent4 3 3 5 2 2" xfId="3793"/>
    <cellStyle name="20% - Accent4 3 3 5 3" xfId="3794"/>
    <cellStyle name="20% - Accent4 3 3 6" xfId="3795"/>
    <cellStyle name="20% - Accent4 3 3 6 2" xfId="3796"/>
    <cellStyle name="20% - Accent4 3 3 7" xfId="3797"/>
    <cellStyle name="20% - Accent4 3 4" xfId="3798"/>
    <cellStyle name="20% - Accent4 3 4 2" xfId="3799"/>
    <cellStyle name="20% - Accent4 3 4 2 2" xfId="3800"/>
    <cellStyle name="20% - Accent4 3 4 2 2 2" xfId="3801"/>
    <cellStyle name="20% - Accent4 3 4 2 2 2 2" xfId="3802"/>
    <cellStyle name="20% - Accent4 3 4 2 2 2 2 2" xfId="3803"/>
    <cellStyle name="20% - Accent4 3 4 2 2 2 3" xfId="3804"/>
    <cellStyle name="20% - Accent4 3 4 2 2 3" xfId="3805"/>
    <cellStyle name="20% - Accent4 3 4 2 2 3 2" xfId="3806"/>
    <cellStyle name="20% - Accent4 3 4 2 2 4" xfId="3807"/>
    <cellStyle name="20% - Accent4 3 4 2 3" xfId="3808"/>
    <cellStyle name="20% - Accent4 3 4 2 3 2" xfId="3809"/>
    <cellStyle name="20% - Accent4 3 4 2 3 2 2" xfId="3810"/>
    <cellStyle name="20% - Accent4 3 4 2 3 3" xfId="3811"/>
    <cellStyle name="20% - Accent4 3 4 2 4" xfId="3812"/>
    <cellStyle name="20% - Accent4 3 4 2 4 2" xfId="3813"/>
    <cellStyle name="20% - Accent4 3 4 2 5" xfId="3814"/>
    <cellStyle name="20% - Accent4 3 4 3" xfId="3815"/>
    <cellStyle name="20% - Accent4 3 4 3 2" xfId="3816"/>
    <cellStyle name="20% - Accent4 3 4 3 2 2" xfId="3817"/>
    <cellStyle name="20% - Accent4 3 4 3 2 2 2" xfId="3818"/>
    <cellStyle name="20% - Accent4 3 4 3 2 3" xfId="3819"/>
    <cellStyle name="20% - Accent4 3 4 3 3" xfId="3820"/>
    <cellStyle name="20% - Accent4 3 4 3 3 2" xfId="3821"/>
    <cellStyle name="20% - Accent4 3 4 3 4" xfId="3822"/>
    <cellStyle name="20% - Accent4 3 4 4" xfId="3823"/>
    <cellStyle name="20% - Accent4 3 4 4 2" xfId="3824"/>
    <cellStyle name="20% - Accent4 3 4 4 2 2" xfId="3825"/>
    <cellStyle name="20% - Accent4 3 4 4 3" xfId="3826"/>
    <cellStyle name="20% - Accent4 3 4 5" xfId="3827"/>
    <cellStyle name="20% - Accent4 3 4 5 2" xfId="3828"/>
    <cellStyle name="20% - Accent4 3 4 6" xfId="3829"/>
    <cellStyle name="20% - Accent4 3 5" xfId="3830"/>
    <cellStyle name="20% - Accent4 3 5 2" xfId="3831"/>
    <cellStyle name="20% - Accent4 3 5 2 2" xfId="3832"/>
    <cellStyle name="20% - Accent4 3 5 2 2 2" xfId="3833"/>
    <cellStyle name="20% - Accent4 3 5 2 2 2 2" xfId="3834"/>
    <cellStyle name="20% - Accent4 3 5 2 2 3" xfId="3835"/>
    <cellStyle name="20% - Accent4 3 5 2 3" xfId="3836"/>
    <cellStyle name="20% - Accent4 3 5 2 3 2" xfId="3837"/>
    <cellStyle name="20% - Accent4 3 5 2 4" xfId="3838"/>
    <cellStyle name="20% - Accent4 3 5 3" xfId="3839"/>
    <cellStyle name="20% - Accent4 3 5 3 2" xfId="3840"/>
    <cellStyle name="20% - Accent4 3 5 3 2 2" xfId="3841"/>
    <cellStyle name="20% - Accent4 3 5 3 3" xfId="3842"/>
    <cellStyle name="20% - Accent4 3 5 4" xfId="3843"/>
    <cellStyle name="20% - Accent4 3 5 4 2" xfId="3844"/>
    <cellStyle name="20% - Accent4 3 5 5" xfId="3845"/>
    <cellStyle name="20% - Accent4 3 6" xfId="3846"/>
    <cellStyle name="20% - Accent4 3 6 2" xfId="3847"/>
    <cellStyle name="20% - Accent4 3 6 2 2" xfId="3848"/>
    <cellStyle name="20% - Accent4 3 6 2 2 2" xfId="3849"/>
    <cellStyle name="20% - Accent4 3 6 2 3" xfId="3850"/>
    <cellStyle name="20% - Accent4 3 6 3" xfId="3851"/>
    <cellStyle name="20% - Accent4 3 6 3 2" xfId="3852"/>
    <cellStyle name="20% - Accent4 3 6 4" xfId="3853"/>
    <cellStyle name="20% - Accent4 3 7" xfId="3854"/>
    <cellStyle name="20% - Accent4 3 7 2" xfId="3855"/>
    <cellStyle name="20% - Accent4 3 7 2 2" xfId="3856"/>
    <cellStyle name="20% - Accent4 3 7 3" xfId="3857"/>
    <cellStyle name="20% - Accent4 3 8" xfId="3858"/>
    <cellStyle name="20% - Accent4 3 8 2" xfId="3859"/>
    <cellStyle name="20% - Accent4 3 9" xfId="3860"/>
    <cellStyle name="20% - Accent4 4" xfId="3861"/>
    <cellStyle name="20% - Accent4 4 2" xfId="3862"/>
    <cellStyle name="20% - Accent4 4 2 2" xfId="3863"/>
    <cellStyle name="20% - Accent4 4 2 2 2" xfId="3864"/>
    <cellStyle name="20% - Accent4 4 2 2 2 2" xfId="3865"/>
    <cellStyle name="20% - Accent4 4 2 2 2 2 2" xfId="3866"/>
    <cellStyle name="20% - Accent4 4 2 2 2 2 2 2" xfId="3867"/>
    <cellStyle name="20% - Accent4 4 2 2 2 2 2 2 2" xfId="3868"/>
    <cellStyle name="20% - Accent4 4 2 2 2 2 2 3" xfId="3869"/>
    <cellStyle name="20% - Accent4 4 2 2 2 2 3" xfId="3870"/>
    <cellStyle name="20% - Accent4 4 2 2 2 2 3 2" xfId="3871"/>
    <cellStyle name="20% - Accent4 4 2 2 2 2 4" xfId="3872"/>
    <cellStyle name="20% - Accent4 4 2 2 2 3" xfId="3873"/>
    <cellStyle name="20% - Accent4 4 2 2 2 3 2" xfId="3874"/>
    <cellStyle name="20% - Accent4 4 2 2 2 3 2 2" xfId="3875"/>
    <cellStyle name="20% - Accent4 4 2 2 2 3 3" xfId="3876"/>
    <cellStyle name="20% - Accent4 4 2 2 2 4" xfId="3877"/>
    <cellStyle name="20% - Accent4 4 2 2 2 4 2" xfId="3878"/>
    <cellStyle name="20% - Accent4 4 2 2 2 5" xfId="3879"/>
    <cellStyle name="20% - Accent4 4 2 2 3" xfId="3880"/>
    <cellStyle name="20% - Accent4 4 2 2 3 2" xfId="3881"/>
    <cellStyle name="20% - Accent4 4 2 2 3 2 2" xfId="3882"/>
    <cellStyle name="20% - Accent4 4 2 2 3 2 2 2" xfId="3883"/>
    <cellStyle name="20% - Accent4 4 2 2 3 2 3" xfId="3884"/>
    <cellStyle name="20% - Accent4 4 2 2 3 3" xfId="3885"/>
    <cellStyle name="20% - Accent4 4 2 2 3 3 2" xfId="3886"/>
    <cellStyle name="20% - Accent4 4 2 2 3 4" xfId="3887"/>
    <cellStyle name="20% - Accent4 4 2 2 4" xfId="3888"/>
    <cellStyle name="20% - Accent4 4 2 2 4 2" xfId="3889"/>
    <cellStyle name="20% - Accent4 4 2 2 4 2 2" xfId="3890"/>
    <cellStyle name="20% - Accent4 4 2 2 4 3" xfId="3891"/>
    <cellStyle name="20% - Accent4 4 2 2 5" xfId="3892"/>
    <cellStyle name="20% - Accent4 4 2 2 5 2" xfId="3893"/>
    <cellStyle name="20% - Accent4 4 2 2 6" xfId="3894"/>
    <cellStyle name="20% - Accent4 4 2 3" xfId="3895"/>
    <cellStyle name="20% - Accent4 4 2 3 2" xfId="3896"/>
    <cellStyle name="20% - Accent4 4 2 3 2 2" xfId="3897"/>
    <cellStyle name="20% - Accent4 4 2 3 2 2 2" xfId="3898"/>
    <cellStyle name="20% - Accent4 4 2 3 2 2 2 2" xfId="3899"/>
    <cellStyle name="20% - Accent4 4 2 3 2 2 3" xfId="3900"/>
    <cellStyle name="20% - Accent4 4 2 3 2 3" xfId="3901"/>
    <cellStyle name="20% - Accent4 4 2 3 2 3 2" xfId="3902"/>
    <cellStyle name="20% - Accent4 4 2 3 2 4" xfId="3903"/>
    <cellStyle name="20% - Accent4 4 2 3 3" xfId="3904"/>
    <cellStyle name="20% - Accent4 4 2 3 3 2" xfId="3905"/>
    <cellStyle name="20% - Accent4 4 2 3 3 2 2" xfId="3906"/>
    <cellStyle name="20% - Accent4 4 2 3 3 3" xfId="3907"/>
    <cellStyle name="20% - Accent4 4 2 3 4" xfId="3908"/>
    <cellStyle name="20% - Accent4 4 2 3 4 2" xfId="3909"/>
    <cellStyle name="20% - Accent4 4 2 3 5" xfId="3910"/>
    <cellStyle name="20% - Accent4 4 2 4" xfId="3911"/>
    <cellStyle name="20% - Accent4 4 2 4 2" xfId="3912"/>
    <cellStyle name="20% - Accent4 4 2 4 2 2" xfId="3913"/>
    <cellStyle name="20% - Accent4 4 2 4 2 2 2" xfId="3914"/>
    <cellStyle name="20% - Accent4 4 2 4 2 3" xfId="3915"/>
    <cellStyle name="20% - Accent4 4 2 4 3" xfId="3916"/>
    <cellStyle name="20% - Accent4 4 2 4 3 2" xfId="3917"/>
    <cellStyle name="20% - Accent4 4 2 4 4" xfId="3918"/>
    <cellStyle name="20% - Accent4 4 2 5" xfId="3919"/>
    <cellStyle name="20% - Accent4 4 2 5 2" xfId="3920"/>
    <cellStyle name="20% - Accent4 4 2 5 2 2" xfId="3921"/>
    <cellStyle name="20% - Accent4 4 2 5 3" xfId="3922"/>
    <cellStyle name="20% - Accent4 4 2 6" xfId="3923"/>
    <cellStyle name="20% - Accent4 4 2 6 2" xfId="3924"/>
    <cellStyle name="20% - Accent4 4 2 7" xfId="3925"/>
    <cellStyle name="20% - Accent4 4 3" xfId="3926"/>
    <cellStyle name="20% - Accent4 4 3 2" xfId="3927"/>
    <cellStyle name="20% - Accent4 4 3 2 2" xfId="3928"/>
    <cellStyle name="20% - Accent4 4 3 2 2 2" xfId="3929"/>
    <cellStyle name="20% - Accent4 4 3 2 2 2 2" xfId="3930"/>
    <cellStyle name="20% - Accent4 4 3 2 2 2 2 2" xfId="3931"/>
    <cellStyle name="20% - Accent4 4 3 2 2 2 3" xfId="3932"/>
    <cellStyle name="20% - Accent4 4 3 2 2 3" xfId="3933"/>
    <cellStyle name="20% - Accent4 4 3 2 2 3 2" xfId="3934"/>
    <cellStyle name="20% - Accent4 4 3 2 2 4" xfId="3935"/>
    <cellStyle name="20% - Accent4 4 3 2 3" xfId="3936"/>
    <cellStyle name="20% - Accent4 4 3 2 3 2" xfId="3937"/>
    <cellStyle name="20% - Accent4 4 3 2 3 2 2" xfId="3938"/>
    <cellStyle name="20% - Accent4 4 3 2 3 3" xfId="3939"/>
    <cellStyle name="20% - Accent4 4 3 2 4" xfId="3940"/>
    <cellStyle name="20% - Accent4 4 3 2 4 2" xfId="3941"/>
    <cellStyle name="20% - Accent4 4 3 2 5" xfId="3942"/>
    <cellStyle name="20% - Accent4 4 3 3" xfId="3943"/>
    <cellStyle name="20% - Accent4 4 3 3 2" xfId="3944"/>
    <cellStyle name="20% - Accent4 4 3 3 2 2" xfId="3945"/>
    <cellStyle name="20% - Accent4 4 3 3 2 2 2" xfId="3946"/>
    <cellStyle name="20% - Accent4 4 3 3 2 3" xfId="3947"/>
    <cellStyle name="20% - Accent4 4 3 3 3" xfId="3948"/>
    <cellStyle name="20% - Accent4 4 3 3 3 2" xfId="3949"/>
    <cellStyle name="20% - Accent4 4 3 3 4" xfId="3950"/>
    <cellStyle name="20% - Accent4 4 3 4" xfId="3951"/>
    <cellStyle name="20% - Accent4 4 3 4 2" xfId="3952"/>
    <cellStyle name="20% - Accent4 4 3 4 2 2" xfId="3953"/>
    <cellStyle name="20% - Accent4 4 3 4 3" xfId="3954"/>
    <cellStyle name="20% - Accent4 4 3 5" xfId="3955"/>
    <cellStyle name="20% - Accent4 4 3 5 2" xfId="3956"/>
    <cellStyle name="20% - Accent4 4 3 6" xfId="3957"/>
    <cellStyle name="20% - Accent4 4 4" xfId="3958"/>
    <cellStyle name="20% - Accent4 4 4 2" xfId="3959"/>
    <cellStyle name="20% - Accent4 4 4 2 2" xfId="3960"/>
    <cellStyle name="20% - Accent4 4 4 2 2 2" xfId="3961"/>
    <cellStyle name="20% - Accent4 4 4 2 2 2 2" xfId="3962"/>
    <cellStyle name="20% - Accent4 4 4 2 2 3" xfId="3963"/>
    <cellStyle name="20% - Accent4 4 4 2 3" xfId="3964"/>
    <cellStyle name="20% - Accent4 4 4 2 3 2" xfId="3965"/>
    <cellStyle name="20% - Accent4 4 4 2 4" xfId="3966"/>
    <cellStyle name="20% - Accent4 4 4 3" xfId="3967"/>
    <cellStyle name="20% - Accent4 4 4 3 2" xfId="3968"/>
    <cellStyle name="20% - Accent4 4 4 3 2 2" xfId="3969"/>
    <cellStyle name="20% - Accent4 4 4 3 3" xfId="3970"/>
    <cellStyle name="20% - Accent4 4 4 4" xfId="3971"/>
    <cellStyle name="20% - Accent4 4 4 4 2" xfId="3972"/>
    <cellStyle name="20% - Accent4 4 4 5" xfId="3973"/>
    <cellStyle name="20% - Accent4 4 5" xfId="3974"/>
    <cellStyle name="20% - Accent4 4 5 2" xfId="3975"/>
    <cellStyle name="20% - Accent4 4 5 2 2" xfId="3976"/>
    <cellStyle name="20% - Accent4 4 5 2 2 2" xfId="3977"/>
    <cellStyle name="20% - Accent4 4 5 2 3" xfId="3978"/>
    <cellStyle name="20% - Accent4 4 5 3" xfId="3979"/>
    <cellStyle name="20% - Accent4 4 5 3 2" xfId="3980"/>
    <cellStyle name="20% - Accent4 4 5 4" xfId="3981"/>
    <cellStyle name="20% - Accent4 4 6" xfId="3982"/>
    <cellStyle name="20% - Accent4 4 6 2" xfId="3983"/>
    <cellStyle name="20% - Accent4 4 6 2 2" xfId="3984"/>
    <cellStyle name="20% - Accent4 4 6 3" xfId="3985"/>
    <cellStyle name="20% - Accent4 4 7" xfId="3986"/>
    <cellStyle name="20% - Accent4 4 7 2" xfId="3987"/>
    <cellStyle name="20% - Accent4 4 8" xfId="3988"/>
    <cellStyle name="20% - Accent4 5" xfId="3989"/>
    <cellStyle name="20% - Accent4 5 2" xfId="3990"/>
    <cellStyle name="20% - Accent4 5 2 2" xfId="3991"/>
    <cellStyle name="20% - Accent4 5 2 2 2" xfId="3992"/>
    <cellStyle name="20% - Accent4 5 2 2 2 2" xfId="3993"/>
    <cellStyle name="20% - Accent4 5 2 2 2 2 2" xfId="3994"/>
    <cellStyle name="20% - Accent4 5 2 2 2 2 2 2" xfId="3995"/>
    <cellStyle name="20% - Accent4 5 2 2 2 2 3" xfId="3996"/>
    <cellStyle name="20% - Accent4 5 2 2 2 3" xfId="3997"/>
    <cellStyle name="20% - Accent4 5 2 2 2 3 2" xfId="3998"/>
    <cellStyle name="20% - Accent4 5 2 2 2 4" xfId="3999"/>
    <cellStyle name="20% - Accent4 5 2 2 3" xfId="4000"/>
    <cellStyle name="20% - Accent4 5 2 2 3 2" xfId="4001"/>
    <cellStyle name="20% - Accent4 5 2 2 3 2 2" xfId="4002"/>
    <cellStyle name="20% - Accent4 5 2 2 3 3" xfId="4003"/>
    <cellStyle name="20% - Accent4 5 2 2 4" xfId="4004"/>
    <cellStyle name="20% - Accent4 5 2 2 4 2" xfId="4005"/>
    <cellStyle name="20% - Accent4 5 2 2 5" xfId="4006"/>
    <cellStyle name="20% - Accent4 5 2 3" xfId="4007"/>
    <cellStyle name="20% - Accent4 5 2 3 2" xfId="4008"/>
    <cellStyle name="20% - Accent4 5 2 3 2 2" xfId="4009"/>
    <cellStyle name="20% - Accent4 5 2 3 2 2 2" xfId="4010"/>
    <cellStyle name="20% - Accent4 5 2 3 2 3" xfId="4011"/>
    <cellStyle name="20% - Accent4 5 2 3 3" xfId="4012"/>
    <cellStyle name="20% - Accent4 5 2 3 3 2" xfId="4013"/>
    <cellStyle name="20% - Accent4 5 2 3 4" xfId="4014"/>
    <cellStyle name="20% - Accent4 5 2 4" xfId="4015"/>
    <cellStyle name="20% - Accent4 5 2 4 2" xfId="4016"/>
    <cellStyle name="20% - Accent4 5 2 4 2 2" xfId="4017"/>
    <cellStyle name="20% - Accent4 5 2 4 3" xfId="4018"/>
    <cellStyle name="20% - Accent4 5 2 5" xfId="4019"/>
    <cellStyle name="20% - Accent4 5 2 5 2" xfId="4020"/>
    <cellStyle name="20% - Accent4 5 2 6" xfId="4021"/>
    <cellStyle name="20% - Accent4 5 3" xfId="4022"/>
    <cellStyle name="20% - Accent4 5 3 2" xfId="4023"/>
    <cellStyle name="20% - Accent4 5 3 2 2" xfId="4024"/>
    <cellStyle name="20% - Accent4 5 3 2 2 2" xfId="4025"/>
    <cellStyle name="20% - Accent4 5 3 2 2 2 2" xfId="4026"/>
    <cellStyle name="20% - Accent4 5 3 2 2 3" xfId="4027"/>
    <cellStyle name="20% - Accent4 5 3 2 3" xfId="4028"/>
    <cellStyle name="20% - Accent4 5 3 2 3 2" xfId="4029"/>
    <cellStyle name="20% - Accent4 5 3 2 4" xfId="4030"/>
    <cellStyle name="20% - Accent4 5 3 3" xfId="4031"/>
    <cellStyle name="20% - Accent4 5 3 3 2" xfId="4032"/>
    <cellStyle name="20% - Accent4 5 3 3 2 2" xfId="4033"/>
    <cellStyle name="20% - Accent4 5 3 3 3" xfId="4034"/>
    <cellStyle name="20% - Accent4 5 3 4" xfId="4035"/>
    <cellStyle name="20% - Accent4 5 3 4 2" xfId="4036"/>
    <cellStyle name="20% - Accent4 5 3 5" xfId="4037"/>
    <cellStyle name="20% - Accent4 5 4" xfId="4038"/>
    <cellStyle name="20% - Accent4 5 4 2" xfId="4039"/>
    <cellStyle name="20% - Accent4 5 4 2 2" xfId="4040"/>
    <cellStyle name="20% - Accent4 5 4 2 2 2" xfId="4041"/>
    <cellStyle name="20% - Accent4 5 4 2 2 3" xfId="23329"/>
    <cellStyle name="20% - Accent4 5 4 2 3" xfId="4042"/>
    <cellStyle name="20% - Accent4 5 4 2 4" xfId="20746"/>
    <cellStyle name="20% - Accent4 5 4 3" xfId="4043"/>
    <cellStyle name="20% - Accent4 5 4 3 2" xfId="4044"/>
    <cellStyle name="20% - Accent4 5 4 3 3" xfId="22039"/>
    <cellStyle name="20% - Accent4 5 4 4" xfId="4045"/>
    <cellStyle name="20% - Accent4 5 5" xfId="4046"/>
    <cellStyle name="20% - Accent4 5 5 2" xfId="4047"/>
    <cellStyle name="20% - Accent4 5 5 2 2" xfId="4048"/>
    <cellStyle name="20% - Accent4 5 5 2 3" xfId="22684"/>
    <cellStyle name="20% - Accent4 5 5 3" xfId="4049"/>
    <cellStyle name="20% - Accent4 5 5 4" xfId="20101"/>
    <cellStyle name="20% - Accent4 5 6" xfId="4050"/>
    <cellStyle name="20% - Accent4 5 6 2" xfId="4051"/>
    <cellStyle name="20% - Accent4 5 6 3" xfId="21394"/>
    <cellStyle name="20% - Accent4 5 7" xfId="4052"/>
    <cellStyle name="20% - Accent4 6" xfId="4053"/>
    <cellStyle name="20% - Accent4 6 2" xfId="4054"/>
    <cellStyle name="20% - Accent4 6 2 2" xfId="4055"/>
    <cellStyle name="20% - Accent4 6 2 2 2" xfId="4056"/>
    <cellStyle name="20% - Accent4 6 2 2 2 2" xfId="4057"/>
    <cellStyle name="20% - Accent4 6 2 2 2 2 2" xfId="4058"/>
    <cellStyle name="20% - Accent4 6 2 2 2 2 3" xfId="23732"/>
    <cellStyle name="20% - Accent4 6 2 2 2 3" xfId="4059"/>
    <cellStyle name="20% - Accent4 6 2 2 2 4" xfId="21149"/>
    <cellStyle name="20% - Accent4 6 2 2 3" xfId="4060"/>
    <cellStyle name="20% - Accent4 6 2 2 3 2" xfId="4061"/>
    <cellStyle name="20% - Accent4 6 2 2 3 3" xfId="22442"/>
    <cellStyle name="20% - Accent4 6 2 2 4" xfId="4062"/>
    <cellStyle name="20% - Accent4 6 2 2 5" xfId="19855"/>
    <cellStyle name="20% - Accent4 6 2 3" xfId="4063"/>
    <cellStyle name="20% - Accent4 6 2 3 2" xfId="4064"/>
    <cellStyle name="20% - Accent4 6 2 3 2 2" xfId="4065"/>
    <cellStyle name="20% - Accent4 6 2 3 2 3" xfId="23087"/>
    <cellStyle name="20% - Accent4 6 2 3 3" xfId="4066"/>
    <cellStyle name="20% - Accent4 6 2 3 4" xfId="20504"/>
    <cellStyle name="20% - Accent4 6 2 4" xfId="4067"/>
    <cellStyle name="20% - Accent4 6 2 4 2" xfId="4068"/>
    <cellStyle name="20% - Accent4 6 2 4 3" xfId="21797"/>
    <cellStyle name="20% - Accent4 6 2 5" xfId="4069"/>
    <cellStyle name="20% - Accent4 6 2 6" xfId="19207"/>
    <cellStyle name="20% - Accent4 6 3" xfId="4070"/>
    <cellStyle name="20% - Accent4 6 3 2" xfId="4071"/>
    <cellStyle name="20% - Accent4 6 3 2 2" xfId="4072"/>
    <cellStyle name="20% - Accent4 6 3 2 2 2" xfId="4073"/>
    <cellStyle name="20% - Accent4 6 3 2 2 3" xfId="23410"/>
    <cellStyle name="20% - Accent4 6 3 2 3" xfId="4074"/>
    <cellStyle name="20% - Accent4 6 3 2 4" xfId="20827"/>
    <cellStyle name="20% - Accent4 6 3 3" xfId="4075"/>
    <cellStyle name="20% - Accent4 6 3 3 2" xfId="4076"/>
    <cellStyle name="20% - Accent4 6 3 3 3" xfId="22120"/>
    <cellStyle name="20% - Accent4 6 3 4" xfId="4077"/>
    <cellStyle name="20% - Accent4 6 3 5" xfId="19533"/>
    <cellStyle name="20% - Accent4 6 4" xfId="4078"/>
    <cellStyle name="20% - Accent4 6 4 2" xfId="4079"/>
    <cellStyle name="20% - Accent4 6 4 2 2" xfId="4080"/>
    <cellStyle name="20% - Accent4 6 4 2 3" xfId="22765"/>
    <cellStyle name="20% - Accent4 6 4 3" xfId="4081"/>
    <cellStyle name="20% - Accent4 6 4 4" xfId="20182"/>
    <cellStyle name="20% - Accent4 6 5" xfId="4082"/>
    <cellStyle name="20% - Accent4 6 5 2" xfId="4083"/>
    <cellStyle name="20% - Accent4 6 5 3" xfId="21475"/>
    <cellStyle name="20% - Accent4 6 6" xfId="4084"/>
    <cellStyle name="20% - Accent4 6 7" xfId="18877"/>
    <cellStyle name="20% - Accent4 7" xfId="4085"/>
    <cellStyle name="20% - Accent4 7 2" xfId="4086"/>
    <cellStyle name="20% - Accent4 7 2 2" xfId="4087"/>
    <cellStyle name="20% - Accent4 7 2 2 2" xfId="4088"/>
    <cellStyle name="20% - Accent4 7 2 2 2 2" xfId="4089"/>
    <cellStyle name="20% - Accent4 7 2 2 2 3" xfId="23571"/>
    <cellStyle name="20% - Accent4 7 2 2 3" xfId="4090"/>
    <cellStyle name="20% - Accent4 7 2 2 4" xfId="20988"/>
    <cellStyle name="20% - Accent4 7 2 3" xfId="4091"/>
    <cellStyle name="20% - Accent4 7 2 3 2" xfId="4092"/>
    <cellStyle name="20% - Accent4 7 2 3 3" xfId="22281"/>
    <cellStyle name="20% - Accent4 7 2 4" xfId="4093"/>
    <cellStyle name="20% - Accent4 7 2 5" xfId="19694"/>
    <cellStyle name="20% - Accent4 7 3" xfId="4094"/>
    <cellStyle name="20% - Accent4 7 3 2" xfId="4095"/>
    <cellStyle name="20% - Accent4 7 3 2 2" xfId="4096"/>
    <cellStyle name="20% - Accent4 7 3 2 3" xfId="22926"/>
    <cellStyle name="20% - Accent4 7 3 3" xfId="4097"/>
    <cellStyle name="20% - Accent4 7 3 4" xfId="20343"/>
    <cellStyle name="20% - Accent4 7 4" xfId="4098"/>
    <cellStyle name="20% - Accent4 7 4 2" xfId="4099"/>
    <cellStyle name="20% - Accent4 7 4 3" xfId="21636"/>
    <cellStyle name="20% - Accent4 7 5" xfId="4100"/>
    <cellStyle name="20% - Accent4 7 6" xfId="19042"/>
    <cellStyle name="20% - Accent4 8" xfId="4101"/>
    <cellStyle name="20% - Accent4 8 2" xfId="4102"/>
    <cellStyle name="20% - Accent4 8 2 2" xfId="4103"/>
    <cellStyle name="20% - Accent4 8 2 2 2" xfId="4104"/>
    <cellStyle name="20% - Accent4 8 2 2 3" xfId="23248"/>
    <cellStyle name="20% - Accent4 8 2 3" xfId="4105"/>
    <cellStyle name="20% - Accent4 8 2 4" xfId="20665"/>
    <cellStyle name="20% - Accent4 8 3" xfId="4106"/>
    <cellStyle name="20% - Accent4 8 3 2" xfId="4107"/>
    <cellStyle name="20% - Accent4 8 3 3" xfId="21958"/>
    <cellStyle name="20% - Accent4 8 4" xfId="4108"/>
    <cellStyle name="20% - Accent4 8 5" xfId="19368"/>
    <cellStyle name="20% - Accent4 9" xfId="4109"/>
    <cellStyle name="20% - Accent4 9 2" xfId="4110"/>
    <cellStyle name="20% - Accent4 9 2 2" xfId="4111"/>
    <cellStyle name="20% - Accent4 9 2 3" xfId="22603"/>
    <cellStyle name="20% - Accent4 9 3" xfId="4112"/>
    <cellStyle name="20% - Accent4 9 4" xfId="20016"/>
    <cellStyle name="20% - Accent5 10" xfId="4113"/>
    <cellStyle name="20% - Accent5 10 2" xfId="4114"/>
    <cellStyle name="20% - Accent5 10 3" xfId="21311"/>
    <cellStyle name="20% - Accent5 11" xfId="4115"/>
    <cellStyle name="20% - Accent5 12" xfId="4116"/>
    <cellStyle name="20% - Accent5 13" xfId="4117"/>
    <cellStyle name="20% - Accent5 14" xfId="4118"/>
    <cellStyle name="20% - Accent5 15" xfId="18624"/>
    <cellStyle name="20% - Accent5 2" xfId="4119"/>
    <cellStyle name="20% - Accent5 2 10" xfId="4120"/>
    <cellStyle name="20% - Accent5 2 11" xfId="18634"/>
    <cellStyle name="20% - Accent5 2 2" xfId="4121"/>
    <cellStyle name="20% - Accent5 2 2 10" xfId="18727"/>
    <cellStyle name="20% - Accent5 2 2 2" xfId="4122"/>
    <cellStyle name="20% - Accent5 2 2 2 2" xfId="4123"/>
    <cellStyle name="20% - Accent5 2 2 2 2 2" xfId="4124"/>
    <cellStyle name="20% - Accent5 2 2 2 2 2 2" xfId="4125"/>
    <cellStyle name="20% - Accent5 2 2 2 2 2 2 2" xfId="4126"/>
    <cellStyle name="20% - Accent5 2 2 2 2 2 2 2 2" xfId="4127"/>
    <cellStyle name="20% - Accent5 2 2 2 2 2 2 2 2 2" xfId="4128"/>
    <cellStyle name="20% - Accent5 2 2 2 2 2 2 2 2 2 2" xfId="4129"/>
    <cellStyle name="20% - Accent5 2 2 2 2 2 2 2 2 2 3" xfId="23884"/>
    <cellStyle name="20% - Accent5 2 2 2 2 2 2 2 2 3" xfId="4130"/>
    <cellStyle name="20% - Accent5 2 2 2 2 2 2 2 2 4" xfId="21301"/>
    <cellStyle name="20% - Accent5 2 2 2 2 2 2 2 3" xfId="4131"/>
    <cellStyle name="20% - Accent5 2 2 2 2 2 2 2 3 2" xfId="4132"/>
    <cellStyle name="20% - Accent5 2 2 2 2 2 2 2 3 3" xfId="22594"/>
    <cellStyle name="20% - Accent5 2 2 2 2 2 2 2 4" xfId="4133"/>
    <cellStyle name="20% - Accent5 2 2 2 2 2 2 2 5" xfId="20007"/>
    <cellStyle name="20% - Accent5 2 2 2 2 2 2 3" xfId="4134"/>
    <cellStyle name="20% - Accent5 2 2 2 2 2 2 3 2" xfId="4135"/>
    <cellStyle name="20% - Accent5 2 2 2 2 2 2 3 2 2" xfId="4136"/>
    <cellStyle name="20% - Accent5 2 2 2 2 2 2 3 2 3" xfId="23239"/>
    <cellStyle name="20% - Accent5 2 2 2 2 2 2 3 3" xfId="4137"/>
    <cellStyle name="20% - Accent5 2 2 2 2 2 2 3 4" xfId="20656"/>
    <cellStyle name="20% - Accent5 2 2 2 2 2 2 4" xfId="4138"/>
    <cellStyle name="20% - Accent5 2 2 2 2 2 2 4 2" xfId="4139"/>
    <cellStyle name="20% - Accent5 2 2 2 2 2 2 4 3" xfId="21949"/>
    <cellStyle name="20% - Accent5 2 2 2 2 2 2 5" xfId="4140"/>
    <cellStyle name="20% - Accent5 2 2 2 2 2 2 6" xfId="19359"/>
    <cellStyle name="20% - Accent5 2 2 2 2 2 3" xfId="4141"/>
    <cellStyle name="20% - Accent5 2 2 2 2 2 3 2" xfId="4142"/>
    <cellStyle name="20% - Accent5 2 2 2 2 2 3 2 2" xfId="4143"/>
    <cellStyle name="20% - Accent5 2 2 2 2 2 3 2 2 2" xfId="4144"/>
    <cellStyle name="20% - Accent5 2 2 2 2 2 3 2 2 3" xfId="23562"/>
    <cellStyle name="20% - Accent5 2 2 2 2 2 3 2 3" xfId="4145"/>
    <cellStyle name="20% - Accent5 2 2 2 2 2 3 2 4" xfId="20979"/>
    <cellStyle name="20% - Accent5 2 2 2 2 2 3 3" xfId="4146"/>
    <cellStyle name="20% - Accent5 2 2 2 2 2 3 3 2" xfId="4147"/>
    <cellStyle name="20% - Accent5 2 2 2 2 2 3 3 3" xfId="22272"/>
    <cellStyle name="20% - Accent5 2 2 2 2 2 3 4" xfId="4148"/>
    <cellStyle name="20% - Accent5 2 2 2 2 2 3 5" xfId="19685"/>
    <cellStyle name="20% - Accent5 2 2 2 2 2 4" xfId="4149"/>
    <cellStyle name="20% - Accent5 2 2 2 2 2 4 2" xfId="4150"/>
    <cellStyle name="20% - Accent5 2 2 2 2 2 4 2 2" xfId="4151"/>
    <cellStyle name="20% - Accent5 2 2 2 2 2 4 2 3" xfId="22917"/>
    <cellStyle name="20% - Accent5 2 2 2 2 2 4 3" xfId="4152"/>
    <cellStyle name="20% - Accent5 2 2 2 2 2 4 4" xfId="20334"/>
    <cellStyle name="20% - Accent5 2 2 2 2 2 5" xfId="4153"/>
    <cellStyle name="20% - Accent5 2 2 2 2 2 5 2" xfId="4154"/>
    <cellStyle name="20% - Accent5 2 2 2 2 2 5 3" xfId="21627"/>
    <cellStyle name="20% - Accent5 2 2 2 2 2 6" xfId="4155"/>
    <cellStyle name="20% - Accent5 2 2 2 2 2 7" xfId="19033"/>
    <cellStyle name="20% - Accent5 2 2 2 2 3" xfId="4156"/>
    <cellStyle name="20% - Accent5 2 2 2 2 3 2" xfId="4157"/>
    <cellStyle name="20% - Accent5 2 2 2 2 3 2 2" xfId="4158"/>
    <cellStyle name="20% - Accent5 2 2 2 2 3 2 2 2" xfId="4159"/>
    <cellStyle name="20% - Accent5 2 2 2 2 3 2 2 2 2" xfId="4160"/>
    <cellStyle name="20% - Accent5 2 2 2 2 3 2 2 2 3" xfId="23723"/>
    <cellStyle name="20% - Accent5 2 2 2 2 3 2 2 3" xfId="4161"/>
    <cellStyle name="20% - Accent5 2 2 2 2 3 2 2 4" xfId="21140"/>
    <cellStyle name="20% - Accent5 2 2 2 2 3 2 3" xfId="4162"/>
    <cellStyle name="20% - Accent5 2 2 2 2 3 2 3 2" xfId="4163"/>
    <cellStyle name="20% - Accent5 2 2 2 2 3 2 3 3" xfId="22433"/>
    <cellStyle name="20% - Accent5 2 2 2 2 3 2 4" xfId="4164"/>
    <cellStyle name="20% - Accent5 2 2 2 2 3 2 5" xfId="19846"/>
    <cellStyle name="20% - Accent5 2 2 2 2 3 3" xfId="4165"/>
    <cellStyle name="20% - Accent5 2 2 2 2 3 3 2" xfId="4166"/>
    <cellStyle name="20% - Accent5 2 2 2 2 3 3 2 2" xfId="4167"/>
    <cellStyle name="20% - Accent5 2 2 2 2 3 3 2 3" xfId="23078"/>
    <cellStyle name="20% - Accent5 2 2 2 2 3 3 3" xfId="4168"/>
    <cellStyle name="20% - Accent5 2 2 2 2 3 3 4" xfId="20495"/>
    <cellStyle name="20% - Accent5 2 2 2 2 3 4" xfId="4169"/>
    <cellStyle name="20% - Accent5 2 2 2 2 3 4 2" xfId="4170"/>
    <cellStyle name="20% - Accent5 2 2 2 2 3 4 3" xfId="21788"/>
    <cellStyle name="20% - Accent5 2 2 2 2 3 5" xfId="4171"/>
    <cellStyle name="20% - Accent5 2 2 2 2 3 6" xfId="19198"/>
    <cellStyle name="20% - Accent5 2 2 2 2 4" xfId="4172"/>
    <cellStyle name="20% - Accent5 2 2 2 2 4 2" xfId="4173"/>
    <cellStyle name="20% - Accent5 2 2 2 2 4 2 2" xfId="4174"/>
    <cellStyle name="20% - Accent5 2 2 2 2 4 2 2 2" xfId="4175"/>
    <cellStyle name="20% - Accent5 2 2 2 2 4 2 2 3" xfId="23401"/>
    <cellStyle name="20% - Accent5 2 2 2 2 4 2 3" xfId="4176"/>
    <cellStyle name="20% - Accent5 2 2 2 2 4 2 4" xfId="20818"/>
    <cellStyle name="20% - Accent5 2 2 2 2 4 3" xfId="4177"/>
    <cellStyle name="20% - Accent5 2 2 2 2 4 3 2" xfId="4178"/>
    <cellStyle name="20% - Accent5 2 2 2 2 4 3 3" xfId="22111"/>
    <cellStyle name="20% - Accent5 2 2 2 2 4 4" xfId="4179"/>
    <cellStyle name="20% - Accent5 2 2 2 2 4 5" xfId="19524"/>
    <cellStyle name="20% - Accent5 2 2 2 2 5" xfId="4180"/>
    <cellStyle name="20% - Accent5 2 2 2 2 5 2" xfId="4181"/>
    <cellStyle name="20% - Accent5 2 2 2 2 5 2 2" xfId="4182"/>
    <cellStyle name="20% - Accent5 2 2 2 2 5 2 3" xfId="22756"/>
    <cellStyle name="20% - Accent5 2 2 2 2 5 3" xfId="4183"/>
    <cellStyle name="20% - Accent5 2 2 2 2 5 4" xfId="20173"/>
    <cellStyle name="20% - Accent5 2 2 2 2 6" xfId="4184"/>
    <cellStyle name="20% - Accent5 2 2 2 2 6 2" xfId="4185"/>
    <cellStyle name="20% - Accent5 2 2 2 2 6 3" xfId="21466"/>
    <cellStyle name="20% - Accent5 2 2 2 2 7" xfId="4186"/>
    <cellStyle name="20% - Accent5 2 2 2 2 8" xfId="18868"/>
    <cellStyle name="20% - Accent5 2 2 2 3" xfId="4187"/>
    <cellStyle name="20% - Accent5 2 2 2 3 2" xfId="4188"/>
    <cellStyle name="20% - Accent5 2 2 2 3 2 2" xfId="4189"/>
    <cellStyle name="20% - Accent5 2 2 2 3 2 2 2" xfId="4190"/>
    <cellStyle name="20% - Accent5 2 2 2 3 2 2 2 2" xfId="4191"/>
    <cellStyle name="20% - Accent5 2 2 2 3 2 2 2 2 2" xfId="4192"/>
    <cellStyle name="20% - Accent5 2 2 2 3 2 2 2 2 3" xfId="23804"/>
    <cellStyle name="20% - Accent5 2 2 2 3 2 2 2 3" xfId="4193"/>
    <cellStyle name="20% - Accent5 2 2 2 3 2 2 2 4" xfId="21221"/>
    <cellStyle name="20% - Accent5 2 2 2 3 2 2 3" xfId="4194"/>
    <cellStyle name="20% - Accent5 2 2 2 3 2 2 3 2" xfId="4195"/>
    <cellStyle name="20% - Accent5 2 2 2 3 2 2 3 3" xfId="22514"/>
    <cellStyle name="20% - Accent5 2 2 2 3 2 2 4" xfId="4196"/>
    <cellStyle name="20% - Accent5 2 2 2 3 2 2 5" xfId="19927"/>
    <cellStyle name="20% - Accent5 2 2 2 3 2 3" xfId="4197"/>
    <cellStyle name="20% - Accent5 2 2 2 3 2 3 2" xfId="4198"/>
    <cellStyle name="20% - Accent5 2 2 2 3 2 3 2 2" xfId="4199"/>
    <cellStyle name="20% - Accent5 2 2 2 3 2 3 2 3" xfId="23159"/>
    <cellStyle name="20% - Accent5 2 2 2 3 2 3 3" xfId="4200"/>
    <cellStyle name="20% - Accent5 2 2 2 3 2 3 4" xfId="20576"/>
    <cellStyle name="20% - Accent5 2 2 2 3 2 4" xfId="4201"/>
    <cellStyle name="20% - Accent5 2 2 2 3 2 4 2" xfId="4202"/>
    <cellStyle name="20% - Accent5 2 2 2 3 2 4 3" xfId="21869"/>
    <cellStyle name="20% - Accent5 2 2 2 3 2 5" xfId="4203"/>
    <cellStyle name="20% - Accent5 2 2 2 3 2 6" xfId="19279"/>
    <cellStyle name="20% - Accent5 2 2 2 3 3" xfId="4204"/>
    <cellStyle name="20% - Accent5 2 2 2 3 3 2" xfId="4205"/>
    <cellStyle name="20% - Accent5 2 2 2 3 3 2 2" xfId="4206"/>
    <cellStyle name="20% - Accent5 2 2 2 3 3 2 2 2" xfId="4207"/>
    <cellStyle name="20% - Accent5 2 2 2 3 3 2 2 3" xfId="23482"/>
    <cellStyle name="20% - Accent5 2 2 2 3 3 2 3" xfId="4208"/>
    <cellStyle name="20% - Accent5 2 2 2 3 3 2 4" xfId="20899"/>
    <cellStyle name="20% - Accent5 2 2 2 3 3 3" xfId="4209"/>
    <cellStyle name="20% - Accent5 2 2 2 3 3 3 2" xfId="4210"/>
    <cellStyle name="20% - Accent5 2 2 2 3 3 3 3" xfId="22192"/>
    <cellStyle name="20% - Accent5 2 2 2 3 3 4" xfId="4211"/>
    <cellStyle name="20% - Accent5 2 2 2 3 3 5" xfId="19605"/>
    <cellStyle name="20% - Accent5 2 2 2 3 4" xfId="4212"/>
    <cellStyle name="20% - Accent5 2 2 2 3 4 2" xfId="4213"/>
    <cellStyle name="20% - Accent5 2 2 2 3 4 2 2" xfId="4214"/>
    <cellStyle name="20% - Accent5 2 2 2 3 4 2 3" xfId="22837"/>
    <cellStyle name="20% - Accent5 2 2 2 3 4 3" xfId="4215"/>
    <cellStyle name="20% - Accent5 2 2 2 3 4 4" xfId="20254"/>
    <cellStyle name="20% - Accent5 2 2 2 3 5" xfId="4216"/>
    <cellStyle name="20% - Accent5 2 2 2 3 5 2" xfId="4217"/>
    <cellStyle name="20% - Accent5 2 2 2 3 5 3" xfId="21547"/>
    <cellStyle name="20% - Accent5 2 2 2 3 6" xfId="4218"/>
    <cellStyle name="20% - Accent5 2 2 2 3 7" xfId="18953"/>
    <cellStyle name="20% - Accent5 2 2 2 4" xfId="4219"/>
    <cellStyle name="20% - Accent5 2 2 2 4 2" xfId="4220"/>
    <cellStyle name="20% - Accent5 2 2 2 4 2 2" xfId="4221"/>
    <cellStyle name="20% - Accent5 2 2 2 4 2 2 2" xfId="4222"/>
    <cellStyle name="20% - Accent5 2 2 2 4 2 2 2 2" xfId="4223"/>
    <cellStyle name="20% - Accent5 2 2 2 4 2 2 2 3" xfId="23643"/>
    <cellStyle name="20% - Accent5 2 2 2 4 2 2 3" xfId="4224"/>
    <cellStyle name="20% - Accent5 2 2 2 4 2 2 4" xfId="21060"/>
    <cellStyle name="20% - Accent5 2 2 2 4 2 3" xfId="4225"/>
    <cellStyle name="20% - Accent5 2 2 2 4 2 3 2" xfId="4226"/>
    <cellStyle name="20% - Accent5 2 2 2 4 2 3 3" xfId="22353"/>
    <cellStyle name="20% - Accent5 2 2 2 4 2 4" xfId="4227"/>
    <cellStyle name="20% - Accent5 2 2 2 4 2 5" xfId="19766"/>
    <cellStyle name="20% - Accent5 2 2 2 4 3" xfId="4228"/>
    <cellStyle name="20% - Accent5 2 2 2 4 3 2" xfId="4229"/>
    <cellStyle name="20% - Accent5 2 2 2 4 3 2 2" xfId="4230"/>
    <cellStyle name="20% - Accent5 2 2 2 4 3 2 3" xfId="22998"/>
    <cellStyle name="20% - Accent5 2 2 2 4 3 3" xfId="4231"/>
    <cellStyle name="20% - Accent5 2 2 2 4 3 4" xfId="20415"/>
    <cellStyle name="20% - Accent5 2 2 2 4 4" xfId="4232"/>
    <cellStyle name="20% - Accent5 2 2 2 4 4 2" xfId="4233"/>
    <cellStyle name="20% - Accent5 2 2 2 4 4 3" xfId="21708"/>
    <cellStyle name="20% - Accent5 2 2 2 4 5" xfId="4234"/>
    <cellStyle name="20% - Accent5 2 2 2 4 6" xfId="19118"/>
    <cellStyle name="20% - Accent5 2 2 2 5" xfId="4235"/>
    <cellStyle name="20% - Accent5 2 2 2 5 2" xfId="4236"/>
    <cellStyle name="20% - Accent5 2 2 2 5 2 2" xfId="4237"/>
    <cellStyle name="20% - Accent5 2 2 2 5 2 2 2" xfId="4238"/>
    <cellStyle name="20% - Accent5 2 2 2 5 2 2 3" xfId="23320"/>
    <cellStyle name="20% - Accent5 2 2 2 5 2 3" xfId="4239"/>
    <cellStyle name="20% - Accent5 2 2 2 5 2 4" xfId="20737"/>
    <cellStyle name="20% - Accent5 2 2 2 5 3" xfId="4240"/>
    <cellStyle name="20% - Accent5 2 2 2 5 3 2" xfId="4241"/>
    <cellStyle name="20% - Accent5 2 2 2 5 3 3" xfId="22030"/>
    <cellStyle name="20% - Accent5 2 2 2 5 4" xfId="4242"/>
    <cellStyle name="20% - Accent5 2 2 2 5 5" xfId="19444"/>
    <cellStyle name="20% - Accent5 2 2 2 6" xfId="4243"/>
    <cellStyle name="20% - Accent5 2 2 2 6 2" xfId="4244"/>
    <cellStyle name="20% - Accent5 2 2 2 6 2 2" xfId="4245"/>
    <cellStyle name="20% - Accent5 2 2 2 6 2 3" xfId="22675"/>
    <cellStyle name="20% - Accent5 2 2 2 6 3" xfId="4246"/>
    <cellStyle name="20% - Accent5 2 2 2 6 4" xfId="20092"/>
    <cellStyle name="20% - Accent5 2 2 2 7" xfId="4247"/>
    <cellStyle name="20% - Accent5 2 2 2 7 2" xfId="4248"/>
    <cellStyle name="20% - Accent5 2 2 2 7 3" xfId="21385"/>
    <cellStyle name="20% - Accent5 2 2 2 8" xfId="4249"/>
    <cellStyle name="20% - Accent5 2 2 2 9" xfId="18771"/>
    <cellStyle name="20% - Accent5 2 2 3" xfId="4250"/>
    <cellStyle name="20% - Accent5 2 2 3 2" xfId="4251"/>
    <cellStyle name="20% - Accent5 2 2 3 2 2" xfId="4252"/>
    <cellStyle name="20% - Accent5 2 2 3 2 2 2" xfId="4253"/>
    <cellStyle name="20% - Accent5 2 2 3 2 2 2 2" xfId="4254"/>
    <cellStyle name="20% - Accent5 2 2 3 2 2 2 2 2" xfId="4255"/>
    <cellStyle name="20% - Accent5 2 2 3 2 2 2 2 2 2" xfId="4256"/>
    <cellStyle name="20% - Accent5 2 2 3 2 2 2 2 2 3" xfId="23844"/>
    <cellStyle name="20% - Accent5 2 2 3 2 2 2 2 3" xfId="4257"/>
    <cellStyle name="20% - Accent5 2 2 3 2 2 2 2 4" xfId="21261"/>
    <cellStyle name="20% - Accent5 2 2 3 2 2 2 3" xfId="4258"/>
    <cellStyle name="20% - Accent5 2 2 3 2 2 2 3 2" xfId="4259"/>
    <cellStyle name="20% - Accent5 2 2 3 2 2 2 3 3" xfId="22554"/>
    <cellStyle name="20% - Accent5 2 2 3 2 2 2 4" xfId="4260"/>
    <cellStyle name="20% - Accent5 2 2 3 2 2 2 5" xfId="19967"/>
    <cellStyle name="20% - Accent5 2 2 3 2 2 3" xfId="4261"/>
    <cellStyle name="20% - Accent5 2 2 3 2 2 3 2" xfId="4262"/>
    <cellStyle name="20% - Accent5 2 2 3 2 2 3 2 2" xfId="4263"/>
    <cellStyle name="20% - Accent5 2 2 3 2 2 3 2 3" xfId="23199"/>
    <cellStyle name="20% - Accent5 2 2 3 2 2 3 3" xfId="4264"/>
    <cellStyle name="20% - Accent5 2 2 3 2 2 3 4" xfId="20616"/>
    <cellStyle name="20% - Accent5 2 2 3 2 2 4" xfId="4265"/>
    <cellStyle name="20% - Accent5 2 2 3 2 2 4 2" xfId="4266"/>
    <cellStyle name="20% - Accent5 2 2 3 2 2 4 3" xfId="21909"/>
    <cellStyle name="20% - Accent5 2 2 3 2 2 5" xfId="4267"/>
    <cellStyle name="20% - Accent5 2 2 3 2 2 6" xfId="19319"/>
    <cellStyle name="20% - Accent5 2 2 3 2 3" xfId="4268"/>
    <cellStyle name="20% - Accent5 2 2 3 2 3 2" xfId="4269"/>
    <cellStyle name="20% - Accent5 2 2 3 2 3 2 2" xfId="4270"/>
    <cellStyle name="20% - Accent5 2 2 3 2 3 2 2 2" xfId="4271"/>
    <cellStyle name="20% - Accent5 2 2 3 2 3 2 2 3" xfId="23522"/>
    <cellStyle name="20% - Accent5 2 2 3 2 3 2 3" xfId="4272"/>
    <cellStyle name="20% - Accent5 2 2 3 2 3 2 4" xfId="20939"/>
    <cellStyle name="20% - Accent5 2 2 3 2 3 3" xfId="4273"/>
    <cellStyle name="20% - Accent5 2 2 3 2 3 3 2" xfId="4274"/>
    <cellStyle name="20% - Accent5 2 2 3 2 3 3 3" xfId="22232"/>
    <cellStyle name="20% - Accent5 2 2 3 2 3 4" xfId="4275"/>
    <cellStyle name="20% - Accent5 2 2 3 2 3 5" xfId="19645"/>
    <cellStyle name="20% - Accent5 2 2 3 2 4" xfId="4276"/>
    <cellStyle name="20% - Accent5 2 2 3 2 4 2" xfId="4277"/>
    <cellStyle name="20% - Accent5 2 2 3 2 4 2 2" xfId="4278"/>
    <cellStyle name="20% - Accent5 2 2 3 2 4 2 3" xfId="22877"/>
    <cellStyle name="20% - Accent5 2 2 3 2 4 3" xfId="4279"/>
    <cellStyle name="20% - Accent5 2 2 3 2 4 4" xfId="20294"/>
    <cellStyle name="20% - Accent5 2 2 3 2 5" xfId="4280"/>
    <cellStyle name="20% - Accent5 2 2 3 2 5 2" xfId="4281"/>
    <cellStyle name="20% - Accent5 2 2 3 2 5 3" xfId="21587"/>
    <cellStyle name="20% - Accent5 2 2 3 2 6" xfId="4282"/>
    <cellStyle name="20% - Accent5 2 2 3 2 7" xfId="18993"/>
    <cellStyle name="20% - Accent5 2 2 3 3" xfId="4283"/>
    <cellStyle name="20% - Accent5 2 2 3 3 2" xfId="4284"/>
    <cellStyle name="20% - Accent5 2 2 3 3 2 2" xfId="4285"/>
    <cellStyle name="20% - Accent5 2 2 3 3 2 2 2" xfId="4286"/>
    <cellStyle name="20% - Accent5 2 2 3 3 2 2 2 2" xfId="4287"/>
    <cellStyle name="20% - Accent5 2 2 3 3 2 2 2 3" xfId="23683"/>
    <cellStyle name="20% - Accent5 2 2 3 3 2 2 3" xfId="4288"/>
    <cellStyle name="20% - Accent5 2 2 3 3 2 2 4" xfId="21100"/>
    <cellStyle name="20% - Accent5 2 2 3 3 2 3" xfId="4289"/>
    <cellStyle name="20% - Accent5 2 2 3 3 2 3 2" xfId="4290"/>
    <cellStyle name="20% - Accent5 2 2 3 3 2 3 3" xfId="22393"/>
    <cellStyle name="20% - Accent5 2 2 3 3 2 4" xfId="4291"/>
    <cellStyle name="20% - Accent5 2 2 3 3 2 5" xfId="19806"/>
    <cellStyle name="20% - Accent5 2 2 3 3 3" xfId="4292"/>
    <cellStyle name="20% - Accent5 2 2 3 3 3 2" xfId="4293"/>
    <cellStyle name="20% - Accent5 2 2 3 3 3 2 2" xfId="4294"/>
    <cellStyle name="20% - Accent5 2 2 3 3 3 2 3" xfId="23038"/>
    <cellStyle name="20% - Accent5 2 2 3 3 3 3" xfId="4295"/>
    <cellStyle name="20% - Accent5 2 2 3 3 3 4" xfId="20455"/>
    <cellStyle name="20% - Accent5 2 2 3 3 4" xfId="4296"/>
    <cellStyle name="20% - Accent5 2 2 3 3 4 2" xfId="4297"/>
    <cellStyle name="20% - Accent5 2 2 3 3 4 3" xfId="21748"/>
    <cellStyle name="20% - Accent5 2 2 3 3 5" xfId="4298"/>
    <cellStyle name="20% - Accent5 2 2 3 3 6" xfId="19158"/>
    <cellStyle name="20% - Accent5 2 2 3 4" xfId="4299"/>
    <cellStyle name="20% - Accent5 2 2 3 4 2" xfId="4300"/>
    <cellStyle name="20% - Accent5 2 2 3 4 2 2" xfId="4301"/>
    <cellStyle name="20% - Accent5 2 2 3 4 2 2 2" xfId="4302"/>
    <cellStyle name="20% - Accent5 2 2 3 4 2 2 3" xfId="23361"/>
    <cellStyle name="20% - Accent5 2 2 3 4 2 3" xfId="4303"/>
    <cellStyle name="20% - Accent5 2 2 3 4 2 4" xfId="20778"/>
    <cellStyle name="20% - Accent5 2 2 3 4 3" xfId="4304"/>
    <cellStyle name="20% - Accent5 2 2 3 4 3 2" xfId="4305"/>
    <cellStyle name="20% - Accent5 2 2 3 4 3 3" xfId="22071"/>
    <cellStyle name="20% - Accent5 2 2 3 4 4" xfId="4306"/>
    <cellStyle name="20% - Accent5 2 2 3 4 5" xfId="19484"/>
    <cellStyle name="20% - Accent5 2 2 3 5" xfId="4307"/>
    <cellStyle name="20% - Accent5 2 2 3 5 2" xfId="4308"/>
    <cellStyle name="20% - Accent5 2 2 3 5 2 2" xfId="4309"/>
    <cellStyle name="20% - Accent5 2 2 3 5 2 3" xfId="22716"/>
    <cellStyle name="20% - Accent5 2 2 3 5 3" xfId="4310"/>
    <cellStyle name="20% - Accent5 2 2 3 5 4" xfId="20133"/>
    <cellStyle name="20% - Accent5 2 2 3 6" xfId="4311"/>
    <cellStyle name="20% - Accent5 2 2 3 6 2" xfId="4312"/>
    <cellStyle name="20% - Accent5 2 2 3 6 3" xfId="21426"/>
    <cellStyle name="20% - Accent5 2 2 3 7" xfId="4313"/>
    <cellStyle name="20% - Accent5 2 2 3 8" xfId="18827"/>
    <cellStyle name="20% - Accent5 2 2 4" xfId="4314"/>
    <cellStyle name="20% - Accent5 2 2 4 2" xfId="4315"/>
    <cellStyle name="20% - Accent5 2 2 4 2 2" xfId="4316"/>
    <cellStyle name="20% - Accent5 2 2 4 2 2 2" xfId="4317"/>
    <cellStyle name="20% - Accent5 2 2 4 2 2 2 2" xfId="4318"/>
    <cellStyle name="20% - Accent5 2 2 4 2 2 2 2 2" xfId="4319"/>
    <cellStyle name="20% - Accent5 2 2 4 2 2 2 2 3" xfId="23764"/>
    <cellStyle name="20% - Accent5 2 2 4 2 2 2 3" xfId="4320"/>
    <cellStyle name="20% - Accent5 2 2 4 2 2 2 4" xfId="21181"/>
    <cellStyle name="20% - Accent5 2 2 4 2 2 3" xfId="4321"/>
    <cellStyle name="20% - Accent5 2 2 4 2 2 3 2" xfId="4322"/>
    <cellStyle name="20% - Accent5 2 2 4 2 2 3 3" xfId="22474"/>
    <cellStyle name="20% - Accent5 2 2 4 2 2 4" xfId="4323"/>
    <cellStyle name="20% - Accent5 2 2 4 2 2 5" xfId="19887"/>
    <cellStyle name="20% - Accent5 2 2 4 2 3" xfId="4324"/>
    <cellStyle name="20% - Accent5 2 2 4 2 3 2" xfId="4325"/>
    <cellStyle name="20% - Accent5 2 2 4 2 3 2 2" xfId="4326"/>
    <cellStyle name="20% - Accent5 2 2 4 2 3 2 3" xfId="23119"/>
    <cellStyle name="20% - Accent5 2 2 4 2 3 3" xfId="4327"/>
    <cellStyle name="20% - Accent5 2 2 4 2 3 4" xfId="20536"/>
    <cellStyle name="20% - Accent5 2 2 4 2 4" xfId="4328"/>
    <cellStyle name="20% - Accent5 2 2 4 2 4 2" xfId="4329"/>
    <cellStyle name="20% - Accent5 2 2 4 2 4 3" xfId="21829"/>
    <cellStyle name="20% - Accent5 2 2 4 2 5" xfId="4330"/>
    <cellStyle name="20% - Accent5 2 2 4 2 6" xfId="19239"/>
    <cellStyle name="20% - Accent5 2 2 4 3" xfId="4331"/>
    <cellStyle name="20% - Accent5 2 2 4 3 2" xfId="4332"/>
    <cellStyle name="20% - Accent5 2 2 4 3 2 2" xfId="4333"/>
    <cellStyle name="20% - Accent5 2 2 4 3 2 2 2" xfId="4334"/>
    <cellStyle name="20% - Accent5 2 2 4 3 2 2 3" xfId="23442"/>
    <cellStyle name="20% - Accent5 2 2 4 3 2 3" xfId="4335"/>
    <cellStyle name="20% - Accent5 2 2 4 3 2 4" xfId="20859"/>
    <cellStyle name="20% - Accent5 2 2 4 3 3" xfId="4336"/>
    <cellStyle name="20% - Accent5 2 2 4 3 3 2" xfId="4337"/>
    <cellStyle name="20% - Accent5 2 2 4 3 3 3" xfId="22152"/>
    <cellStyle name="20% - Accent5 2 2 4 3 4" xfId="4338"/>
    <cellStyle name="20% - Accent5 2 2 4 3 5" xfId="19565"/>
    <cellStyle name="20% - Accent5 2 2 4 4" xfId="4339"/>
    <cellStyle name="20% - Accent5 2 2 4 4 2" xfId="4340"/>
    <cellStyle name="20% - Accent5 2 2 4 4 2 2" xfId="4341"/>
    <cellStyle name="20% - Accent5 2 2 4 4 2 3" xfId="22797"/>
    <cellStyle name="20% - Accent5 2 2 4 4 3" xfId="4342"/>
    <cellStyle name="20% - Accent5 2 2 4 4 4" xfId="20214"/>
    <cellStyle name="20% - Accent5 2 2 4 5" xfId="4343"/>
    <cellStyle name="20% - Accent5 2 2 4 5 2" xfId="4344"/>
    <cellStyle name="20% - Accent5 2 2 4 5 3" xfId="21507"/>
    <cellStyle name="20% - Accent5 2 2 4 6" xfId="4345"/>
    <cellStyle name="20% - Accent5 2 2 4 7" xfId="18913"/>
    <cellStyle name="20% - Accent5 2 2 5" xfId="4346"/>
    <cellStyle name="20% - Accent5 2 2 5 2" xfId="4347"/>
    <cellStyle name="20% - Accent5 2 2 5 2 2" xfId="4348"/>
    <cellStyle name="20% - Accent5 2 2 5 2 2 2" xfId="4349"/>
    <cellStyle name="20% - Accent5 2 2 5 2 2 2 2" xfId="4350"/>
    <cellStyle name="20% - Accent5 2 2 5 2 2 2 3" xfId="23603"/>
    <cellStyle name="20% - Accent5 2 2 5 2 2 3" xfId="4351"/>
    <cellStyle name="20% - Accent5 2 2 5 2 2 4" xfId="21020"/>
    <cellStyle name="20% - Accent5 2 2 5 2 3" xfId="4352"/>
    <cellStyle name="20% - Accent5 2 2 5 2 3 2" xfId="4353"/>
    <cellStyle name="20% - Accent5 2 2 5 2 3 3" xfId="22313"/>
    <cellStyle name="20% - Accent5 2 2 5 2 4" xfId="4354"/>
    <cellStyle name="20% - Accent5 2 2 5 2 5" xfId="19726"/>
    <cellStyle name="20% - Accent5 2 2 5 3" xfId="4355"/>
    <cellStyle name="20% - Accent5 2 2 5 3 2" xfId="4356"/>
    <cellStyle name="20% - Accent5 2 2 5 3 2 2" xfId="4357"/>
    <cellStyle name="20% - Accent5 2 2 5 3 2 3" xfId="22958"/>
    <cellStyle name="20% - Accent5 2 2 5 3 3" xfId="4358"/>
    <cellStyle name="20% - Accent5 2 2 5 3 4" xfId="20375"/>
    <cellStyle name="20% - Accent5 2 2 5 4" xfId="4359"/>
    <cellStyle name="20% - Accent5 2 2 5 4 2" xfId="4360"/>
    <cellStyle name="20% - Accent5 2 2 5 4 3" xfId="21668"/>
    <cellStyle name="20% - Accent5 2 2 5 5" xfId="4361"/>
    <cellStyle name="20% - Accent5 2 2 5 6" xfId="19078"/>
    <cellStyle name="20% - Accent5 2 2 6" xfId="4362"/>
    <cellStyle name="20% - Accent5 2 2 6 2" xfId="4363"/>
    <cellStyle name="20% - Accent5 2 2 6 2 2" xfId="4364"/>
    <cellStyle name="20% - Accent5 2 2 6 2 2 2" xfId="4365"/>
    <cellStyle name="20% - Accent5 2 2 6 2 2 3" xfId="23280"/>
    <cellStyle name="20% - Accent5 2 2 6 2 3" xfId="4366"/>
    <cellStyle name="20% - Accent5 2 2 6 2 4" xfId="20697"/>
    <cellStyle name="20% - Accent5 2 2 6 3" xfId="4367"/>
    <cellStyle name="20% - Accent5 2 2 6 3 2" xfId="4368"/>
    <cellStyle name="20% - Accent5 2 2 6 3 3" xfId="21990"/>
    <cellStyle name="20% - Accent5 2 2 6 4" xfId="4369"/>
    <cellStyle name="20% - Accent5 2 2 6 5" xfId="19404"/>
    <cellStyle name="20% - Accent5 2 2 7" xfId="4370"/>
    <cellStyle name="20% - Accent5 2 2 7 2" xfId="4371"/>
    <cellStyle name="20% - Accent5 2 2 7 2 2" xfId="4372"/>
    <cellStyle name="20% - Accent5 2 2 7 2 3" xfId="22635"/>
    <cellStyle name="20% - Accent5 2 2 7 3" xfId="4373"/>
    <cellStyle name="20% - Accent5 2 2 7 4" xfId="20052"/>
    <cellStyle name="20% - Accent5 2 2 8" xfId="4374"/>
    <cellStyle name="20% - Accent5 2 2 8 2" xfId="4375"/>
    <cellStyle name="20% - Accent5 2 2 8 3" xfId="21345"/>
    <cellStyle name="20% - Accent5 2 2 9" xfId="4376"/>
    <cellStyle name="20% - Accent5 2 3" xfId="4377"/>
    <cellStyle name="20% - Accent5 2 3 2" xfId="4378"/>
    <cellStyle name="20% - Accent5 2 3 2 2" xfId="4379"/>
    <cellStyle name="20% - Accent5 2 3 2 2 2" xfId="4380"/>
    <cellStyle name="20% - Accent5 2 3 2 2 2 2" xfId="4381"/>
    <cellStyle name="20% - Accent5 2 3 2 2 2 2 2" xfId="4382"/>
    <cellStyle name="20% - Accent5 2 3 2 2 2 2 2 2" xfId="4383"/>
    <cellStyle name="20% - Accent5 2 3 2 2 2 2 2 2 2" xfId="4384"/>
    <cellStyle name="20% - Accent5 2 3 2 2 2 2 2 2 3" xfId="23864"/>
    <cellStyle name="20% - Accent5 2 3 2 2 2 2 2 3" xfId="4385"/>
    <cellStyle name="20% - Accent5 2 3 2 2 2 2 2 4" xfId="21281"/>
    <cellStyle name="20% - Accent5 2 3 2 2 2 2 3" xfId="4386"/>
    <cellStyle name="20% - Accent5 2 3 2 2 2 2 3 2" xfId="4387"/>
    <cellStyle name="20% - Accent5 2 3 2 2 2 2 3 3" xfId="22574"/>
    <cellStyle name="20% - Accent5 2 3 2 2 2 2 4" xfId="4388"/>
    <cellStyle name="20% - Accent5 2 3 2 2 2 2 5" xfId="19987"/>
    <cellStyle name="20% - Accent5 2 3 2 2 2 3" xfId="4389"/>
    <cellStyle name="20% - Accent5 2 3 2 2 2 3 2" xfId="4390"/>
    <cellStyle name="20% - Accent5 2 3 2 2 2 3 2 2" xfId="4391"/>
    <cellStyle name="20% - Accent5 2 3 2 2 2 3 2 3" xfId="23219"/>
    <cellStyle name="20% - Accent5 2 3 2 2 2 3 3" xfId="4392"/>
    <cellStyle name="20% - Accent5 2 3 2 2 2 3 4" xfId="20636"/>
    <cellStyle name="20% - Accent5 2 3 2 2 2 4" xfId="4393"/>
    <cellStyle name="20% - Accent5 2 3 2 2 2 4 2" xfId="4394"/>
    <cellStyle name="20% - Accent5 2 3 2 2 2 4 3" xfId="21929"/>
    <cellStyle name="20% - Accent5 2 3 2 2 2 5" xfId="4395"/>
    <cellStyle name="20% - Accent5 2 3 2 2 2 6" xfId="19339"/>
    <cellStyle name="20% - Accent5 2 3 2 2 3" xfId="4396"/>
    <cellStyle name="20% - Accent5 2 3 2 2 3 2" xfId="4397"/>
    <cellStyle name="20% - Accent5 2 3 2 2 3 2 2" xfId="4398"/>
    <cellStyle name="20% - Accent5 2 3 2 2 3 2 2 2" xfId="4399"/>
    <cellStyle name="20% - Accent5 2 3 2 2 3 2 2 3" xfId="23542"/>
    <cellStyle name="20% - Accent5 2 3 2 2 3 2 3" xfId="4400"/>
    <cellStyle name="20% - Accent5 2 3 2 2 3 2 4" xfId="20959"/>
    <cellStyle name="20% - Accent5 2 3 2 2 3 3" xfId="4401"/>
    <cellStyle name="20% - Accent5 2 3 2 2 3 3 2" xfId="4402"/>
    <cellStyle name="20% - Accent5 2 3 2 2 3 3 3" xfId="22252"/>
    <cellStyle name="20% - Accent5 2 3 2 2 3 4" xfId="4403"/>
    <cellStyle name="20% - Accent5 2 3 2 2 3 5" xfId="19665"/>
    <cellStyle name="20% - Accent5 2 3 2 2 4" xfId="4404"/>
    <cellStyle name="20% - Accent5 2 3 2 2 4 2" xfId="4405"/>
    <cellStyle name="20% - Accent5 2 3 2 2 4 2 2" xfId="4406"/>
    <cellStyle name="20% - Accent5 2 3 2 2 4 2 3" xfId="22897"/>
    <cellStyle name="20% - Accent5 2 3 2 2 4 3" xfId="4407"/>
    <cellStyle name="20% - Accent5 2 3 2 2 4 4" xfId="20314"/>
    <cellStyle name="20% - Accent5 2 3 2 2 5" xfId="4408"/>
    <cellStyle name="20% - Accent5 2 3 2 2 5 2" xfId="4409"/>
    <cellStyle name="20% - Accent5 2 3 2 2 5 3" xfId="21607"/>
    <cellStyle name="20% - Accent5 2 3 2 2 6" xfId="4410"/>
    <cellStyle name="20% - Accent5 2 3 2 2 7" xfId="19013"/>
    <cellStyle name="20% - Accent5 2 3 2 3" xfId="4411"/>
    <cellStyle name="20% - Accent5 2 3 2 3 2" xfId="4412"/>
    <cellStyle name="20% - Accent5 2 3 2 3 2 2" xfId="4413"/>
    <cellStyle name="20% - Accent5 2 3 2 3 2 2 2" xfId="4414"/>
    <cellStyle name="20% - Accent5 2 3 2 3 2 2 2 2" xfId="4415"/>
    <cellStyle name="20% - Accent5 2 3 2 3 2 2 2 3" xfId="23703"/>
    <cellStyle name="20% - Accent5 2 3 2 3 2 2 3" xfId="4416"/>
    <cellStyle name="20% - Accent5 2 3 2 3 2 2 4" xfId="21120"/>
    <cellStyle name="20% - Accent5 2 3 2 3 2 3" xfId="4417"/>
    <cellStyle name="20% - Accent5 2 3 2 3 2 3 2" xfId="4418"/>
    <cellStyle name="20% - Accent5 2 3 2 3 2 3 3" xfId="22413"/>
    <cellStyle name="20% - Accent5 2 3 2 3 2 4" xfId="4419"/>
    <cellStyle name="20% - Accent5 2 3 2 3 2 5" xfId="19826"/>
    <cellStyle name="20% - Accent5 2 3 2 3 3" xfId="4420"/>
    <cellStyle name="20% - Accent5 2 3 2 3 3 2" xfId="4421"/>
    <cellStyle name="20% - Accent5 2 3 2 3 3 2 2" xfId="4422"/>
    <cellStyle name="20% - Accent5 2 3 2 3 3 2 3" xfId="23058"/>
    <cellStyle name="20% - Accent5 2 3 2 3 3 3" xfId="4423"/>
    <cellStyle name="20% - Accent5 2 3 2 3 3 4" xfId="20475"/>
    <cellStyle name="20% - Accent5 2 3 2 3 4" xfId="4424"/>
    <cellStyle name="20% - Accent5 2 3 2 3 4 2" xfId="4425"/>
    <cellStyle name="20% - Accent5 2 3 2 3 4 3" xfId="21768"/>
    <cellStyle name="20% - Accent5 2 3 2 3 5" xfId="4426"/>
    <cellStyle name="20% - Accent5 2 3 2 3 6" xfId="19178"/>
    <cellStyle name="20% - Accent5 2 3 2 4" xfId="4427"/>
    <cellStyle name="20% - Accent5 2 3 2 4 2" xfId="4428"/>
    <cellStyle name="20% - Accent5 2 3 2 4 2 2" xfId="4429"/>
    <cellStyle name="20% - Accent5 2 3 2 4 2 2 2" xfId="4430"/>
    <cellStyle name="20% - Accent5 2 3 2 4 2 2 3" xfId="23381"/>
    <cellStyle name="20% - Accent5 2 3 2 4 2 3" xfId="4431"/>
    <cellStyle name="20% - Accent5 2 3 2 4 2 4" xfId="20798"/>
    <cellStyle name="20% - Accent5 2 3 2 4 3" xfId="4432"/>
    <cellStyle name="20% - Accent5 2 3 2 4 3 2" xfId="4433"/>
    <cellStyle name="20% - Accent5 2 3 2 4 3 3" xfId="22091"/>
    <cellStyle name="20% - Accent5 2 3 2 4 4" xfId="4434"/>
    <cellStyle name="20% - Accent5 2 3 2 4 5" xfId="19504"/>
    <cellStyle name="20% - Accent5 2 3 2 5" xfId="4435"/>
    <cellStyle name="20% - Accent5 2 3 2 5 2" xfId="4436"/>
    <cellStyle name="20% - Accent5 2 3 2 5 2 2" xfId="4437"/>
    <cellStyle name="20% - Accent5 2 3 2 5 2 3" xfId="22736"/>
    <cellStyle name="20% - Accent5 2 3 2 5 3" xfId="4438"/>
    <cellStyle name="20% - Accent5 2 3 2 5 4" xfId="20153"/>
    <cellStyle name="20% - Accent5 2 3 2 6" xfId="4439"/>
    <cellStyle name="20% - Accent5 2 3 2 6 2" xfId="4440"/>
    <cellStyle name="20% - Accent5 2 3 2 6 3" xfId="21446"/>
    <cellStyle name="20% - Accent5 2 3 2 7" xfId="4441"/>
    <cellStyle name="20% - Accent5 2 3 2 8" xfId="18848"/>
    <cellStyle name="20% - Accent5 2 3 3" xfId="4442"/>
    <cellStyle name="20% - Accent5 2 3 3 2" xfId="4443"/>
    <cellStyle name="20% - Accent5 2 3 3 2 2" xfId="4444"/>
    <cellStyle name="20% - Accent5 2 3 3 2 2 2" xfId="4445"/>
    <cellStyle name="20% - Accent5 2 3 3 2 2 2 2" xfId="4446"/>
    <cellStyle name="20% - Accent5 2 3 3 2 2 2 2 2" xfId="4447"/>
    <cellStyle name="20% - Accent5 2 3 3 2 2 2 2 3" xfId="23784"/>
    <cellStyle name="20% - Accent5 2 3 3 2 2 2 3" xfId="4448"/>
    <cellStyle name="20% - Accent5 2 3 3 2 2 2 4" xfId="21201"/>
    <cellStyle name="20% - Accent5 2 3 3 2 2 3" xfId="4449"/>
    <cellStyle name="20% - Accent5 2 3 3 2 2 3 2" xfId="4450"/>
    <cellStyle name="20% - Accent5 2 3 3 2 2 3 3" xfId="22494"/>
    <cellStyle name="20% - Accent5 2 3 3 2 2 4" xfId="4451"/>
    <cellStyle name="20% - Accent5 2 3 3 2 2 5" xfId="19907"/>
    <cellStyle name="20% - Accent5 2 3 3 2 3" xfId="4452"/>
    <cellStyle name="20% - Accent5 2 3 3 2 3 2" xfId="4453"/>
    <cellStyle name="20% - Accent5 2 3 3 2 3 2 2" xfId="4454"/>
    <cellStyle name="20% - Accent5 2 3 3 2 3 2 3" xfId="23139"/>
    <cellStyle name="20% - Accent5 2 3 3 2 3 3" xfId="4455"/>
    <cellStyle name="20% - Accent5 2 3 3 2 3 4" xfId="20556"/>
    <cellStyle name="20% - Accent5 2 3 3 2 4" xfId="4456"/>
    <cellStyle name="20% - Accent5 2 3 3 2 4 2" xfId="4457"/>
    <cellStyle name="20% - Accent5 2 3 3 2 4 3" xfId="21849"/>
    <cellStyle name="20% - Accent5 2 3 3 2 5" xfId="4458"/>
    <cellStyle name="20% - Accent5 2 3 3 2 6" xfId="19259"/>
    <cellStyle name="20% - Accent5 2 3 3 3" xfId="4459"/>
    <cellStyle name="20% - Accent5 2 3 3 3 2" xfId="4460"/>
    <cellStyle name="20% - Accent5 2 3 3 3 2 2" xfId="4461"/>
    <cellStyle name="20% - Accent5 2 3 3 3 2 2 2" xfId="4462"/>
    <cellStyle name="20% - Accent5 2 3 3 3 2 2 3" xfId="23462"/>
    <cellStyle name="20% - Accent5 2 3 3 3 2 3" xfId="4463"/>
    <cellStyle name="20% - Accent5 2 3 3 3 2 4" xfId="20879"/>
    <cellStyle name="20% - Accent5 2 3 3 3 3" xfId="4464"/>
    <cellStyle name="20% - Accent5 2 3 3 3 3 2" xfId="4465"/>
    <cellStyle name="20% - Accent5 2 3 3 3 3 3" xfId="22172"/>
    <cellStyle name="20% - Accent5 2 3 3 3 4" xfId="4466"/>
    <cellStyle name="20% - Accent5 2 3 3 3 5" xfId="19585"/>
    <cellStyle name="20% - Accent5 2 3 3 4" xfId="4467"/>
    <cellStyle name="20% - Accent5 2 3 3 4 2" xfId="4468"/>
    <cellStyle name="20% - Accent5 2 3 3 4 2 2" xfId="4469"/>
    <cellStyle name="20% - Accent5 2 3 3 4 2 3" xfId="22817"/>
    <cellStyle name="20% - Accent5 2 3 3 4 3" xfId="4470"/>
    <cellStyle name="20% - Accent5 2 3 3 4 4" xfId="20234"/>
    <cellStyle name="20% - Accent5 2 3 3 5" xfId="4471"/>
    <cellStyle name="20% - Accent5 2 3 3 5 2" xfId="4472"/>
    <cellStyle name="20% - Accent5 2 3 3 5 3" xfId="21527"/>
    <cellStyle name="20% - Accent5 2 3 3 6" xfId="4473"/>
    <cellStyle name="20% - Accent5 2 3 3 7" xfId="18933"/>
    <cellStyle name="20% - Accent5 2 3 4" xfId="4474"/>
    <cellStyle name="20% - Accent5 2 3 4 2" xfId="4475"/>
    <cellStyle name="20% - Accent5 2 3 4 2 2" xfId="4476"/>
    <cellStyle name="20% - Accent5 2 3 4 2 2 2" xfId="4477"/>
    <cellStyle name="20% - Accent5 2 3 4 2 2 2 2" xfId="4478"/>
    <cellStyle name="20% - Accent5 2 3 4 2 2 2 3" xfId="23623"/>
    <cellStyle name="20% - Accent5 2 3 4 2 2 3" xfId="4479"/>
    <cellStyle name="20% - Accent5 2 3 4 2 2 4" xfId="21040"/>
    <cellStyle name="20% - Accent5 2 3 4 2 3" xfId="4480"/>
    <cellStyle name="20% - Accent5 2 3 4 2 3 2" xfId="4481"/>
    <cellStyle name="20% - Accent5 2 3 4 2 3 3" xfId="22333"/>
    <cellStyle name="20% - Accent5 2 3 4 2 4" xfId="4482"/>
    <cellStyle name="20% - Accent5 2 3 4 2 5" xfId="19746"/>
    <cellStyle name="20% - Accent5 2 3 4 3" xfId="4483"/>
    <cellStyle name="20% - Accent5 2 3 4 3 2" xfId="4484"/>
    <cellStyle name="20% - Accent5 2 3 4 3 2 2" xfId="4485"/>
    <cellStyle name="20% - Accent5 2 3 4 3 2 3" xfId="22978"/>
    <cellStyle name="20% - Accent5 2 3 4 3 3" xfId="4486"/>
    <cellStyle name="20% - Accent5 2 3 4 3 4" xfId="20395"/>
    <cellStyle name="20% - Accent5 2 3 4 4" xfId="4487"/>
    <cellStyle name="20% - Accent5 2 3 4 4 2" xfId="4488"/>
    <cellStyle name="20% - Accent5 2 3 4 4 3" xfId="21688"/>
    <cellStyle name="20% - Accent5 2 3 4 5" xfId="4489"/>
    <cellStyle name="20% - Accent5 2 3 4 6" xfId="19098"/>
    <cellStyle name="20% - Accent5 2 3 5" xfId="4490"/>
    <cellStyle name="20% - Accent5 2 3 5 2" xfId="4491"/>
    <cellStyle name="20% - Accent5 2 3 5 2 2" xfId="4492"/>
    <cellStyle name="20% - Accent5 2 3 5 2 2 2" xfId="4493"/>
    <cellStyle name="20% - Accent5 2 3 5 2 2 3" xfId="23300"/>
    <cellStyle name="20% - Accent5 2 3 5 2 3" xfId="4494"/>
    <cellStyle name="20% - Accent5 2 3 5 2 4" xfId="20717"/>
    <cellStyle name="20% - Accent5 2 3 5 3" xfId="4495"/>
    <cellStyle name="20% - Accent5 2 3 5 3 2" xfId="4496"/>
    <cellStyle name="20% - Accent5 2 3 5 3 3" xfId="22010"/>
    <cellStyle name="20% - Accent5 2 3 5 4" xfId="4497"/>
    <cellStyle name="20% - Accent5 2 3 5 5" xfId="19424"/>
    <cellStyle name="20% - Accent5 2 3 6" xfId="4498"/>
    <cellStyle name="20% - Accent5 2 3 6 2" xfId="4499"/>
    <cellStyle name="20% - Accent5 2 3 6 2 2" xfId="4500"/>
    <cellStyle name="20% - Accent5 2 3 6 2 3" xfId="22655"/>
    <cellStyle name="20% - Accent5 2 3 6 3" xfId="4501"/>
    <cellStyle name="20% - Accent5 2 3 6 4" xfId="20072"/>
    <cellStyle name="20% - Accent5 2 3 7" xfId="4502"/>
    <cellStyle name="20% - Accent5 2 3 7 2" xfId="4503"/>
    <cellStyle name="20% - Accent5 2 3 7 3" xfId="21365"/>
    <cellStyle name="20% - Accent5 2 3 8" xfId="4504"/>
    <cellStyle name="20% - Accent5 2 3 9" xfId="18751"/>
    <cellStyle name="20% - Accent5 2 4" xfId="4505"/>
    <cellStyle name="20% - Accent5 2 4 2" xfId="4506"/>
    <cellStyle name="20% - Accent5 2 4 2 2" xfId="4507"/>
    <cellStyle name="20% - Accent5 2 4 2 2 2" xfId="4508"/>
    <cellStyle name="20% - Accent5 2 4 2 2 2 2" xfId="4509"/>
    <cellStyle name="20% - Accent5 2 4 2 2 2 2 2" xfId="4510"/>
    <cellStyle name="20% - Accent5 2 4 2 2 2 2 2 2" xfId="4511"/>
    <cellStyle name="20% - Accent5 2 4 2 2 2 2 2 3" xfId="23824"/>
    <cellStyle name="20% - Accent5 2 4 2 2 2 2 3" xfId="4512"/>
    <cellStyle name="20% - Accent5 2 4 2 2 2 2 4" xfId="21241"/>
    <cellStyle name="20% - Accent5 2 4 2 2 2 3" xfId="4513"/>
    <cellStyle name="20% - Accent5 2 4 2 2 2 3 2" xfId="4514"/>
    <cellStyle name="20% - Accent5 2 4 2 2 2 3 3" xfId="22534"/>
    <cellStyle name="20% - Accent5 2 4 2 2 2 4" xfId="4515"/>
    <cellStyle name="20% - Accent5 2 4 2 2 2 5" xfId="19947"/>
    <cellStyle name="20% - Accent5 2 4 2 2 3" xfId="4516"/>
    <cellStyle name="20% - Accent5 2 4 2 2 3 2" xfId="4517"/>
    <cellStyle name="20% - Accent5 2 4 2 2 3 2 2" xfId="4518"/>
    <cellStyle name="20% - Accent5 2 4 2 2 3 2 3" xfId="23179"/>
    <cellStyle name="20% - Accent5 2 4 2 2 3 3" xfId="4519"/>
    <cellStyle name="20% - Accent5 2 4 2 2 3 4" xfId="20596"/>
    <cellStyle name="20% - Accent5 2 4 2 2 4" xfId="4520"/>
    <cellStyle name="20% - Accent5 2 4 2 2 4 2" xfId="4521"/>
    <cellStyle name="20% - Accent5 2 4 2 2 4 3" xfId="21889"/>
    <cellStyle name="20% - Accent5 2 4 2 2 5" xfId="4522"/>
    <cellStyle name="20% - Accent5 2 4 2 2 6" xfId="19299"/>
    <cellStyle name="20% - Accent5 2 4 2 3" xfId="4523"/>
    <cellStyle name="20% - Accent5 2 4 2 3 2" xfId="4524"/>
    <cellStyle name="20% - Accent5 2 4 2 3 2 2" xfId="4525"/>
    <cellStyle name="20% - Accent5 2 4 2 3 2 2 2" xfId="4526"/>
    <cellStyle name="20% - Accent5 2 4 2 3 2 2 3" xfId="23502"/>
    <cellStyle name="20% - Accent5 2 4 2 3 2 3" xfId="4527"/>
    <cellStyle name="20% - Accent5 2 4 2 3 2 4" xfId="20919"/>
    <cellStyle name="20% - Accent5 2 4 2 3 3" xfId="4528"/>
    <cellStyle name="20% - Accent5 2 4 2 3 3 2" xfId="4529"/>
    <cellStyle name="20% - Accent5 2 4 2 3 3 3" xfId="22212"/>
    <cellStyle name="20% - Accent5 2 4 2 3 4" xfId="4530"/>
    <cellStyle name="20% - Accent5 2 4 2 3 5" xfId="19625"/>
    <cellStyle name="20% - Accent5 2 4 2 4" xfId="4531"/>
    <cellStyle name="20% - Accent5 2 4 2 4 2" xfId="4532"/>
    <cellStyle name="20% - Accent5 2 4 2 4 2 2" xfId="4533"/>
    <cellStyle name="20% - Accent5 2 4 2 4 2 3" xfId="22857"/>
    <cellStyle name="20% - Accent5 2 4 2 4 3" xfId="4534"/>
    <cellStyle name="20% - Accent5 2 4 2 4 4" xfId="20274"/>
    <cellStyle name="20% - Accent5 2 4 2 5" xfId="4535"/>
    <cellStyle name="20% - Accent5 2 4 2 5 2" xfId="4536"/>
    <cellStyle name="20% - Accent5 2 4 2 5 3" xfId="21567"/>
    <cellStyle name="20% - Accent5 2 4 2 6" xfId="4537"/>
    <cellStyle name="20% - Accent5 2 4 2 7" xfId="18973"/>
    <cellStyle name="20% - Accent5 2 4 3" xfId="4538"/>
    <cellStyle name="20% - Accent5 2 4 3 2" xfId="4539"/>
    <cellStyle name="20% - Accent5 2 4 3 2 2" xfId="4540"/>
    <cellStyle name="20% - Accent5 2 4 3 2 2 2" xfId="4541"/>
    <cellStyle name="20% - Accent5 2 4 3 2 2 2 2" xfId="4542"/>
    <cellStyle name="20% - Accent5 2 4 3 2 2 2 3" xfId="23663"/>
    <cellStyle name="20% - Accent5 2 4 3 2 2 3" xfId="4543"/>
    <cellStyle name="20% - Accent5 2 4 3 2 2 4" xfId="21080"/>
    <cellStyle name="20% - Accent5 2 4 3 2 3" xfId="4544"/>
    <cellStyle name="20% - Accent5 2 4 3 2 3 2" xfId="4545"/>
    <cellStyle name="20% - Accent5 2 4 3 2 3 3" xfId="22373"/>
    <cellStyle name="20% - Accent5 2 4 3 2 4" xfId="4546"/>
    <cellStyle name="20% - Accent5 2 4 3 2 5" xfId="19786"/>
    <cellStyle name="20% - Accent5 2 4 3 3" xfId="4547"/>
    <cellStyle name="20% - Accent5 2 4 3 3 2" xfId="4548"/>
    <cellStyle name="20% - Accent5 2 4 3 3 2 2" xfId="4549"/>
    <cellStyle name="20% - Accent5 2 4 3 3 2 3" xfId="23018"/>
    <cellStyle name="20% - Accent5 2 4 3 3 3" xfId="4550"/>
    <cellStyle name="20% - Accent5 2 4 3 3 4" xfId="20435"/>
    <cellStyle name="20% - Accent5 2 4 3 4" xfId="4551"/>
    <cellStyle name="20% - Accent5 2 4 3 4 2" xfId="4552"/>
    <cellStyle name="20% - Accent5 2 4 3 4 3" xfId="21728"/>
    <cellStyle name="20% - Accent5 2 4 3 5" xfId="4553"/>
    <cellStyle name="20% - Accent5 2 4 3 6" xfId="19138"/>
    <cellStyle name="20% - Accent5 2 4 4" xfId="4554"/>
    <cellStyle name="20% - Accent5 2 4 4 2" xfId="4555"/>
    <cellStyle name="20% - Accent5 2 4 4 2 2" xfId="4556"/>
    <cellStyle name="20% - Accent5 2 4 4 2 2 2" xfId="4557"/>
    <cellStyle name="20% - Accent5 2 4 4 2 2 3" xfId="23341"/>
    <cellStyle name="20% - Accent5 2 4 4 2 3" xfId="4558"/>
    <cellStyle name="20% - Accent5 2 4 4 2 4" xfId="20758"/>
    <cellStyle name="20% - Accent5 2 4 4 3" xfId="4559"/>
    <cellStyle name="20% - Accent5 2 4 4 3 2" xfId="4560"/>
    <cellStyle name="20% - Accent5 2 4 4 3 3" xfId="22051"/>
    <cellStyle name="20% - Accent5 2 4 4 4" xfId="4561"/>
    <cellStyle name="20% - Accent5 2 4 4 5" xfId="19464"/>
    <cellStyle name="20% - Accent5 2 4 5" xfId="4562"/>
    <cellStyle name="20% - Accent5 2 4 5 2" xfId="4563"/>
    <cellStyle name="20% - Accent5 2 4 5 2 2" xfId="4564"/>
    <cellStyle name="20% - Accent5 2 4 5 2 3" xfId="22696"/>
    <cellStyle name="20% - Accent5 2 4 5 3" xfId="4565"/>
    <cellStyle name="20% - Accent5 2 4 5 4" xfId="20113"/>
    <cellStyle name="20% - Accent5 2 4 6" xfId="4566"/>
    <cellStyle name="20% - Accent5 2 4 6 2" xfId="4567"/>
    <cellStyle name="20% - Accent5 2 4 6 3" xfId="21406"/>
    <cellStyle name="20% - Accent5 2 4 7" xfId="4568"/>
    <cellStyle name="20% - Accent5 2 4 8" xfId="18805"/>
    <cellStyle name="20% - Accent5 2 5" xfId="4569"/>
    <cellStyle name="20% - Accent5 2 5 2" xfId="4570"/>
    <cellStyle name="20% - Accent5 2 5 2 2" xfId="4571"/>
    <cellStyle name="20% - Accent5 2 5 2 2 2" xfId="4572"/>
    <cellStyle name="20% - Accent5 2 5 2 2 2 2" xfId="4573"/>
    <cellStyle name="20% - Accent5 2 5 2 2 2 2 2" xfId="4574"/>
    <cellStyle name="20% - Accent5 2 5 2 2 2 2 3" xfId="23744"/>
    <cellStyle name="20% - Accent5 2 5 2 2 2 3" xfId="4575"/>
    <cellStyle name="20% - Accent5 2 5 2 2 2 4" xfId="21161"/>
    <cellStyle name="20% - Accent5 2 5 2 2 3" xfId="4576"/>
    <cellStyle name="20% - Accent5 2 5 2 2 3 2" xfId="4577"/>
    <cellStyle name="20% - Accent5 2 5 2 2 3 3" xfId="22454"/>
    <cellStyle name="20% - Accent5 2 5 2 2 4" xfId="4578"/>
    <cellStyle name="20% - Accent5 2 5 2 2 5" xfId="19867"/>
    <cellStyle name="20% - Accent5 2 5 2 3" xfId="4579"/>
    <cellStyle name="20% - Accent5 2 5 2 3 2" xfId="4580"/>
    <cellStyle name="20% - Accent5 2 5 2 3 2 2" xfId="4581"/>
    <cellStyle name="20% - Accent5 2 5 2 3 2 3" xfId="23099"/>
    <cellStyle name="20% - Accent5 2 5 2 3 3" xfId="4582"/>
    <cellStyle name="20% - Accent5 2 5 2 3 4" xfId="20516"/>
    <cellStyle name="20% - Accent5 2 5 2 4" xfId="4583"/>
    <cellStyle name="20% - Accent5 2 5 2 4 2" xfId="4584"/>
    <cellStyle name="20% - Accent5 2 5 2 4 3" xfId="21809"/>
    <cellStyle name="20% - Accent5 2 5 2 5" xfId="4585"/>
    <cellStyle name="20% - Accent5 2 5 2 6" xfId="19219"/>
    <cellStyle name="20% - Accent5 2 5 3" xfId="4586"/>
    <cellStyle name="20% - Accent5 2 5 3 2" xfId="4587"/>
    <cellStyle name="20% - Accent5 2 5 3 2 2" xfId="4588"/>
    <cellStyle name="20% - Accent5 2 5 3 2 2 2" xfId="4589"/>
    <cellStyle name="20% - Accent5 2 5 3 2 2 3" xfId="23422"/>
    <cellStyle name="20% - Accent5 2 5 3 2 3" xfId="4590"/>
    <cellStyle name="20% - Accent5 2 5 3 2 4" xfId="20839"/>
    <cellStyle name="20% - Accent5 2 5 3 3" xfId="4591"/>
    <cellStyle name="20% - Accent5 2 5 3 3 2" xfId="4592"/>
    <cellStyle name="20% - Accent5 2 5 3 3 3" xfId="22132"/>
    <cellStyle name="20% - Accent5 2 5 3 4" xfId="4593"/>
    <cellStyle name="20% - Accent5 2 5 3 5" xfId="19545"/>
    <cellStyle name="20% - Accent5 2 5 4" xfId="4594"/>
    <cellStyle name="20% - Accent5 2 5 4 2" xfId="4595"/>
    <cellStyle name="20% - Accent5 2 5 4 2 2" xfId="4596"/>
    <cellStyle name="20% - Accent5 2 5 4 2 3" xfId="22777"/>
    <cellStyle name="20% - Accent5 2 5 4 3" xfId="4597"/>
    <cellStyle name="20% - Accent5 2 5 4 4" xfId="20194"/>
    <cellStyle name="20% - Accent5 2 5 5" xfId="4598"/>
    <cellStyle name="20% - Accent5 2 5 5 2" xfId="4599"/>
    <cellStyle name="20% - Accent5 2 5 5 3" xfId="21487"/>
    <cellStyle name="20% - Accent5 2 5 6" xfId="4600"/>
    <cellStyle name="20% - Accent5 2 5 7" xfId="18893"/>
    <cellStyle name="20% - Accent5 2 6" xfId="4601"/>
    <cellStyle name="20% - Accent5 2 6 2" xfId="4602"/>
    <cellStyle name="20% - Accent5 2 6 2 2" xfId="4603"/>
    <cellStyle name="20% - Accent5 2 6 2 2 2" xfId="4604"/>
    <cellStyle name="20% - Accent5 2 6 2 2 2 2" xfId="4605"/>
    <cellStyle name="20% - Accent5 2 6 2 2 2 3" xfId="23583"/>
    <cellStyle name="20% - Accent5 2 6 2 2 3" xfId="4606"/>
    <cellStyle name="20% - Accent5 2 6 2 2 4" xfId="21000"/>
    <cellStyle name="20% - Accent5 2 6 2 3" xfId="4607"/>
    <cellStyle name="20% - Accent5 2 6 2 3 2" xfId="4608"/>
    <cellStyle name="20% - Accent5 2 6 2 3 3" xfId="22293"/>
    <cellStyle name="20% - Accent5 2 6 2 4" xfId="4609"/>
    <cellStyle name="20% - Accent5 2 6 2 5" xfId="19706"/>
    <cellStyle name="20% - Accent5 2 6 3" xfId="4610"/>
    <cellStyle name="20% - Accent5 2 6 3 2" xfId="4611"/>
    <cellStyle name="20% - Accent5 2 6 3 2 2" xfId="4612"/>
    <cellStyle name="20% - Accent5 2 6 3 2 3" xfId="22938"/>
    <cellStyle name="20% - Accent5 2 6 3 3" xfId="4613"/>
    <cellStyle name="20% - Accent5 2 6 3 4" xfId="20355"/>
    <cellStyle name="20% - Accent5 2 6 4" xfId="4614"/>
    <cellStyle name="20% - Accent5 2 6 4 2" xfId="4615"/>
    <cellStyle name="20% - Accent5 2 6 4 3" xfId="21648"/>
    <cellStyle name="20% - Accent5 2 6 5" xfId="4616"/>
    <cellStyle name="20% - Accent5 2 6 6" xfId="19058"/>
    <cellStyle name="20% - Accent5 2 7" xfId="4617"/>
    <cellStyle name="20% - Accent5 2 7 2" xfId="4618"/>
    <cellStyle name="20% - Accent5 2 7 2 2" xfId="4619"/>
    <cellStyle name="20% - Accent5 2 7 2 2 2" xfId="4620"/>
    <cellStyle name="20% - Accent5 2 7 2 2 3" xfId="23260"/>
    <cellStyle name="20% - Accent5 2 7 2 3" xfId="4621"/>
    <cellStyle name="20% - Accent5 2 7 2 4" xfId="20677"/>
    <cellStyle name="20% - Accent5 2 7 3" xfId="4622"/>
    <cellStyle name="20% - Accent5 2 7 3 2" xfId="4623"/>
    <cellStyle name="20% - Accent5 2 7 3 3" xfId="21970"/>
    <cellStyle name="20% - Accent5 2 7 4" xfId="4624"/>
    <cellStyle name="20% - Accent5 2 7 5" xfId="19384"/>
    <cellStyle name="20% - Accent5 2 8" xfId="4625"/>
    <cellStyle name="20% - Accent5 2 8 2" xfId="4626"/>
    <cellStyle name="20% - Accent5 2 8 2 2" xfId="4627"/>
    <cellStyle name="20% - Accent5 2 8 2 3" xfId="22615"/>
    <cellStyle name="20% - Accent5 2 8 3" xfId="4628"/>
    <cellStyle name="20% - Accent5 2 8 4" xfId="20032"/>
    <cellStyle name="20% - Accent5 2 9" xfId="4629"/>
    <cellStyle name="20% - Accent5 2 9 2" xfId="4630"/>
    <cellStyle name="20% - Accent5 2 9 3" xfId="21325"/>
    <cellStyle name="20% - Accent5 3" xfId="4631"/>
    <cellStyle name="20% - Accent5 3 10" xfId="18713"/>
    <cellStyle name="20% - Accent5 3 2" xfId="4632"/>
    <cellStyle name="20% - Accent5 3 2 2" xfId="4633"/>
    <cellStyle name="20% - Accent5 3 2 2 2" xfId="4634"/>
    <cellStyle name="20% - Accent5 3 2 2 2 2" xfId="4635"/>
    <cellStyle name="20% - Accent5 3 2 2 2 2 2" xfId="4636"/>
    <cellStyle name="20% - Accent5 3 2 2 2 2 2 2" xfId="4637"/>
    <cellStyle name="20% - Accent5 3 2 2 2 2 2 2 2" xfId="4638"/>
    <cellStyle name="20% - Accent5 3 2 2 2 2 2 2 2 2" xfId="4639"/>
    <cellStyle name="20% - Accent5 3 2 2 2 2 2 2 2 3" xfId="23874"/>
    <cellStyle name="20% - Accent5 3 2 2 2 2 2 2 3" xfId="4640"/>
    <cellStyle name="20% - Accent5 3 2 2 2 2 2 2 4" xfId="21291"/>
    <cellStyle name="20% - Accent5 3 2 2 2 2 2 3" xfId="4641"/>
    <cellStyle name="20% - Accent5 3 2 2 2 2 2 3 2" xfId="4642"/>
    <cellStyle name="20% - Accent5 3 2 2 2 2 2 3 3" xfId="22584"/>
    <cellStyle name="20% - Accent5 3 2 2 2 2 2 4" xfId="4643"/>
    <cellStyle name="20% - Accent5 3 2 2 2 2 2 5" xfId="19997"/>
    <cellStyle name="20% - Accent5 3 2 2 2 2 3" xfId="4644"/>
    <cellStyle name="20% - Accent5 3 2 2 2 2 3 2" xfId="4645"/>
    <cellStyle name="20% - Accent5 3 2 2 2 2 3 2 2" xfId="4646"/>
    <cellStyle name="20% - Accent5 3 2 2 2 2 3 2 3" xfId="23229"/>
    <cellStyle name="20% - Accent5 3 2 2 2 2 3 3" xfId="4647"/>
    <cellStyle name="20% - Accent5 3 2 2 2 2 3 4" xfId="20646"/>
    <cellStyle name="20% - Accent5 3 2 2 2 2 4" xfId="4648"/>
    <cellStyle name="20% - Accent5 3 2 2 2 2 4 2" xfId="4649"/>
    <cellStyle name="20% - Accent5 3 2 2 2 2 4 3" xfId="21939"/>
    <cellStyle name="20% - Accent5 3 2 2 2 2 5" xfId="4650"/>
    <cellStyle name="20% - Accent5 3 2 2 2 2 6" xfId="19349"/>
    <cellStyle name="20% - Accent5 3 2 2 2 3" xfId="4651"/>
    <cellStyle name="20% - Accent5 3 2 2 2 3 2" xfId="4652"/>
    <cellStyle name="20% - Accent5 3 2 2 2 3 2 2" xfId="4653"/>
    <cellStyle name="20% - Accent5 3 2 2 2 3 2 2 2" xfId="4654"/>
    <cellStyle name="20% - Accent5 3 2 2 2 3 2 2 3" xfId="23552"/>
    <cellStyle name="20% - Accent5 3 2 2 2 3 2 3" xfId="4655"/>
    <cellStyle name="20% - Accent5 3 2 2 2 3 2 4" xfId="20969"/>
    <cellStyle name="20% - Accent5 3 2 2 2 3 3" xfId="4656"/>
    <cellStyle name="20% - Accent5 3 2 2 2 3 3 2" xfId="4657"/>
    <cellStyle name="20% - Accent5 3 2 2 2 3 3 3" xfId="22262"/>
    <cellStyle name="20% - Accent5 3 2 2 2 3 4" xfId="4658"/>
    <cellStyle name="20% - Accent5 3 2 2 2 3 5" xfId="19675"/>
    <cellStyle name="20% - Accent5 3 2 2 2 4" xfId="4659"/>
    <cellStyle name="20% - Accent5 3 2 2 2 4 2" xfId="4660"/>
    <cellStyle name="20% - Accent5 3 2 2 2 4 2 2" xfId="4661"/>
    <cellStyle name="20% - Accent5 3 2 2 2 4 2 3" xfId="22907"/>
    <cellStyle name="20% - Accent5 3 2 2 2 4 3" xfId="4662"/>
    <cellStyle name="20% - Accent5 3 2 2 2 4 4" xfId="20324"/>
    <cellStyle name="20% - Accent5 3 2 2 2 5" xfId="4663"/>
    <cellStyle name="20% - Accent5 3 2 2 2 5 2" xfId="4664"/>
    <cellStyle name="20% - Accent5 3 2 2 2 5 3" xfId="21617"/>
    <cellStyle name="20% - Accent5 3 2 2 2 6" xfId="4665"/>
    <cellStyle name="20% - Accent5 3 2 2 2 7" xfId="19023"/>
    <cellStyle name="20% - Accent5 3 2 2 3" xfId="4666"/>
    <cellStyle name="20% - Accent5 3 2 2 3 2" xfId="4667"/>
    <cellStyle name="20% - Accent5 3 2 2 3 2 2" xfId="4668"/>
    <cellStyle name="20% - Accent5 3 2 2 3 2 2 2" xfId="4669"/>
    <cellStyle name="20% - Accent5 3 2 2 3 2 2 2 2" xfId="4670"/>
    <cellStyle name="20% - Accent5 3 2 2 3 2 2 2 3" xfId="23713"/>
    <cellStyle name="20% - Accent5 3 2 2 3 2 2 3" xfId="4671"/>
    <cellStyle name="20% - Accent5 3 2 2 3 2 2 4" xfId="21130"/>
    <cellStyle name="20% - Accent5 3 2 2 3 2 3" xfId="4672"/>
    <cellStyle name="20% - Accent5 3 2 2 3 2 3 2" xfId="4673"/>
    <cellStyle name="20% - Accent5 3 2 2 3 2 3 3" xfId="22423"/>
    <cellStyle name="20% - Accent5 3 2 2 3 2 4" xfId="4674"/>
    <cellStyle name="20% - Accent5 3 2 2 3 2 5" xfId="19836"/>
    <cellStyle name="20% - Accent5 3 2 2 3 3" xfId="4675"/>
    <cellStyle name="20% - Accent5 3 2 2 3 3 2" xfId="4676"/>
    <cellStyle name="20% - Accent5 3 2 2 3 3 2 2" xfId="4677"/>
    <cellStyle name="20% - Accent5 3 2 2 3 3 2 3" xfId="23068"/>
    <cellStyle name="20% - Accent5 3 2 2 3 3 3" xfId="4678"/>
    <cellStyle name="20% - Accent5 3 2 2 3 3 4" xfId="20485"/>
    <cellStyle name="20% - Accent5 3 2 2 3 4" xfId="4679"/>
    <cellStyle name="20% - Accent5 3 2 2 3 4 2" xfId="4680"/>
    <cellStyle name="20% - Accent5 3 2 2 3 4 3" xfId="21778"/>
    <cellStyle name="20% - Accent5 3 2 2 3 5" xfId="4681"/>
    <cellStyle name="20% - Accent5 3 2 2 3 6" xfId="19188"/>
    <cellStyle name="20% - Accent5 3 2 2 4" xfId="4682"/>
    <cellStyle name="20% - Accent5 3 2 2 4 2" xfId="4683"/>
    <cellStyle name="20% - Accent5 3 2 2 4 2 2" xfId="4684"/>
    <cellStyle name="20% - Accent5 3 2 2 4 2 2 2" xfId="4685"/>
    <cellStyle name="20% - Accent5 3 2 2 4 2 2 3" xfId="23391"/>
    <cellStyle name="20% - Accent5 3 2 2 4 2 3" xfId="4686"/>
    <cellStyle name="20% - Accent5 3 2 2 4 2 4" xfId="20808"/>
    <cellStyle name="20% - Accent5 3 2 2 4 3" xfId="4687"/>
    <cellStyle name="20% - Accent5 3 2 2 4 3 2" xfId="4688"/>
    <cellStyle name="20% - Accent5 3 2 2 4 3 3" xfId="22101"/>
    <cellStyle name="20% - Accent5 3 2 2 4 4" xfId="4689"/>
    <cellStyle name="20% - Accent5 3 2 2 4 5" xfId="19514"/>
    <cellStyle name="20% - Accent5 3 2 2 5" xfId="4690"/>
    <cellStyle name="20% - Accent5 3 2 2 5 2" xfId="4691"/>
    <cellStyle name="20% - Accent5 3 2 2 5 2 2" xfId="4692"/>
    <cellStyle name="20% - Accent5 3 2 2 5 2 3" xfId="22746"/>
    <cellStyle name="20% - Accent5 3 2 2 5 3" xfId="4693"/>
    <cellStyle name="20% - Accent5 3 2 2 5 4" xfId="20163"/>
    <cellStyle name="20% - Accent5 3 2 2 6" xfId="4694"/>
    <cellStyle name="20% - Accent5 3 2 2 6 2" xfId="4695"/>
    <cellStyle name="20% - Accent5 3 2 2 6 3" xfId="21456"/>
    <cellStyle name="20% - Accent5 3 2 2 7" xfId="4696"/>
    <cellStyle name="20% - Accent5 3 2 2 8" xfId="18858"/>
    <cellStyle name="20% - Accent5 3 2 3" xfId="4697"/>
    <cellStyle name="20% - Accent5 3 2 3 2" xfId="4698"/>
    <cellStyle name="20% - Accent5 3 2 3 2 2" xfId="4699"/>
    <cellStyle name="20% - Accent5 3 2 3 2 2 2" xfId="4700"/>
    <cellStyle name="20% - Accent5 3 2 3 2 2 2 2" xfId="4701"/>
    <cellStyle name="20% - Accent5 3 2 3 2 2 2 2 2" xfId="4702"/>
    <cellStyle name="20% - Accent5 3 2 3 2 2 2 2 3" xfId="23794"/>
    <cellStyle name="20% - Accent5 3 2 3 2 2 2 3" xfId="4703"/>
    <cellStyle name="20% - Accent5 3 2 3 2 2 2 4" xfId="21211"/>
    <cellStyle name="20% - Accent5 3 2 3 2 2 3" xfId="4704"/>
    <cellStyle name="20% - Accent5 3 2 3 2 2 3 2" xfId="4705"/>
    <cellStyle name="20% - Accent5 3 2 3 2 2 3 3" xfId="22504"/>
    <cellStyle name="20% - Accent5 3 2 3 2 2 4" xfId="4706"/>
    <cellStyle name="20% - Accent5 3 2 3 2 2 5" xfId="19917"/>
    <cellStyle name="20% - Accent5 3 2 3 2 3" xfId="4707"/>
    <cellStyle name="20% - Accent5 3 2 3 2 3 2" xfId="4708"/>
    <cellStyle name="20% - Accent5 3 2 3 2 3 2 2" xfId="4709"/>
    <cellStyle name="20% - Accent5 3 2 3 2 3 2 3" xfId="23149"/>
    <cellStyle name="20% - Accent5 3 2 3 2 3 3" xfId="4710"/>
    <cellStyle name="20% - Accent5 3 2 3 2 3 4" xfId="20566"/>
    <cellStyle name="20% - Accent5 3 2 3 2 4" xfId="4711"/>
    <cellStyle name="20% - Accent5 3 2 3 2 4 2" xfId="4712"/>
    <cellStyle name="20% - Accent5 3 2 3 2 4 3" xfId="21859"/>
    <cellStyle name="20% - Accent5 3 2 3 2 5" xfId="4713"/>
    <cellStyle name="20% - Accent5 3 2 3 2 6" xfId="19269"/>
    <cellStyle name="20% - Accent5 3 2 3 3" xfId="4714"/>
    <cellStyle name="20% - Accent5 3 2 3 3 2" xfId="4715"/>
    <cellStyle name="20% - Accent5 3 2 3 3 2 2" xfId="4716"/>
    <cellStyle name="20% - Accent5 3 2 3 3 2 2 2" xfId="4717"/>
    <cellStyle name="20% - Accent5 3 2 3 3 2 2 3" xfId="23472"/>
    <cellStyle name="20% - Accent5 3 2 3 3 2 3" xfId="4718"/>
    <cellStyle name="20% - Accent5 3 2 3 3 2 4" xfId="20889"/>
    <cellStyle name="20% - Accent5 3 2 3 3 3" xfId="4719"/>
    <cellStyle name="20% - Accent5 3 2 3 3 3 2" xfId="4720"/>
    <cellStyle name="20% - Accent5 3 2 3 3 3 3" xfId="22182"/>
    <cellStyle name="20% - Accent5 3 2 3 3 4" xfId="4721"/>
    <cellStyle name="20% - Accent5 3 2 3 3 5" xfId="19595"/>
    <cellStyle name="20% - Accent5 3 2 3 4" xfId="4722"/>
    <cellStyle name="20% - Accent5 3 2 3 4 2" xfId="4723"/>
    <cellStyle name="20% - Accent5 3 2 3 4 2 2" xfId="4724"/>
    <cellStyle name="20% - Accent5 3 2 3 4 2 3" xfId="22827"/>
    <cellStyle name="20% - Accent5 3 2 3 4 3" xfId="4725"/>
    <cellStyle name="20% - Accent5 3 2 3 4 4" xfId="20244"/>
    <cellStyle name="20% - Accent5 3 2 3 5" xfId="4726"/>
    <cellStyle name="20% - Accent5 3 2 3 5 2" xfId="4727"/>
    <cellStyle name="20% - Accent5 3 2 3 5 3" xfId="21537"/>
    <cellStyle name="20% - Accent5 3 2 3 6" xfId="4728"/>
    <cellStyle name="20% - Accent5 3 2 3 7" xfId="18943"/>
    <cellStyle name="20% - Accent5 3 2 4" xfId="4729"/>
    <cellStyle name="20% - Accent5 3 2 4 2" xfId="4730"/>
    <cellStyle name="20% - Accent5 3 2 4 2 2" xfId="4731"/>
    <cellStyle name="20% - Accent5 3 2 4 2 2 2" xfId="4732"/>
    <cellStyle name="20% - Accent5 3 2 4 2 2 2 2" xfId="4733"/>
    <cellStyle name="20% - Accent5 3 2 4 2 2 2 3" xfId="23633"/>
    <cellStyle name="20% - Accent5 3 2 4 2 2 3" xfId="4734"/>
    <cellStyle name="20% - Accent5 3 2 4 2 2 4" xfId="21050"/>
    <cellStyle name="20% - Accent5 3 2 4 2 3" xfId="4735"/>
    <cellStyle name="20% - Accent5 3 2 4 2 3 2" xfId="4736"/>
    <cellStyle name="20% - Accent5 3 2 4 2 3 3" xfId="22343"/>
    <cellStyle name="20% - Accent5 3 2 4 2 4" xfId="4737"/>
    <cellStyle name="20% - Accent5 3 2 4 2 5" xfId="19756"/>
    <cellStyle name="20% - Accent5 3 2 4 3" xfId="4738"/>
    <cellStyle name="20% - Accent5 3 2 4 3 2" xfId="4739"/>
    <cellStyle name="20% - Accent5 3 2 4 3 2 2" xfId="4740"/>
    <cellStyle name="20% - Accent5 3 2 4 3 2 3" xfId="22988"/>
    <cellStyle name="20% - Accent5 3 2 4 3 3" xfId="4741"/>
    <cellStyle name="20% - Accent5 3 2 4 3 4" xfId="20405"/>
    <cellStyle name="20% - Accent5 3 2 4 4" xfId="4742"/>
    <cellStyle name="20% - Accent5 3 2 4 4 2" xfId="4743"/>
    <cellStyle name="20% - Accent5 3 2 4 4 3" xfId="21698"/>
    <cellStyle name="20% - Accent5 3 2 4 5" xfId="4744"/>
    <cellStyle name="20% - Accent5 3 2 4 6" xfId="19108"/>
    <cellStyle name="20% - Accent5 3 2 5" xfId="4745"/>
    <cellStyle name="20% - Accent5 3 2 5 2" xfId="4746"/>
    <cellStyle name="20% - Accent5 3 2 5 2 2" xfId="4747"/>
    <cellStyle name="20% - Accent5 3 2 5 2 2 2" xfId="4748"/>
    <cellStyle name="20% - Accent5 3 2 5 2 2 3" xfId="23310"/>
    <cellStyle name="20% - Accent5 3 2 5 2 3" xfId="4749"/>
    <cellStyle name="20% - Accent5 3 2 5 2 4" xfId="20727"/>
    <cellStyle name="20% - Accent5 3 2 5 3" xfId="4750"/>
    <cellStyle name="20% - Accent5 3 2 5 3 2" xfId="4751"/>
    <cellStyle name="20% - Accent5 3 2 5 3 3" xfId="22020"/>
    <cellStyle name="20% - Accent5 3 2 5 4" xfId="4752"/>
    <cellStyle name="20% - Accent5 3 2 5 5" xfId="19434"/>
    <cellStyle name="20% - Accent5 3 2 6" xfId="4753"/>
    <cellStyle name="20% - Accent5 3 2 6 2" xfId="4754"/>
    <cellStyle name="20% - Accent5 3 2 6 2 2" xfId="4755"/>
    <cellStyle name="20% - Accent5 3 2 6 2 3" xfId="22665"/>
    <cellStyle name="20% - Accent5 3 2 6 3" xfId="4756"/>
    <cellStyle name="20% - Accent5 3 2 6 4" xfId="20082"/>
    <cellStyle name="20% - Accent5 3 2 7" xfId="4757"/>
    <cellStyle name="20% - Accent5 3 2 7 2" xfId="4758"/>
    <cellStyle name="20% - Accent5 3 2 7 3" xfId="21375"/>
    <cellStyle name="20% - Accent5 3 2 8" xfId="4759"/>
    <cellStyle name="20% - Accent5 3 2 9" xfId="18761"/>
    <cellStyle name="20% - Accent5 3 3" xfId="4760"/>
    <cellStyle name="20% - Accent5 3 3 2" xfId="4761"/>
    <cellStyle name="20% - Accent5 3 3 2 2" xfId="4762"/>
    <cellStyle name="20% - Accent5 3 3 2 2 2" xfId="4763"/>
    <cellStyle name="20% - Accent5 3 3 2 2 2 2" xfId="4764"/>
    <cellStyle name="20% - Accent5 3 3 2 2 2 2 2" xfId="4765"/>
    <cellStyle name="20% - Accent5 3 3 2 2 2 2 2 2" xfId="4766"/>
    <cellStyle name="20% - Accent5 3 3 2 2 2 2 2 3" xfId="23834"/>
    <cellStyle name="20% - Accent5 3 3 2 2 2 2 3" xfId="4767"/>
    <cellStyle name="20% - Accent5 3 3 2 2 2 2 4" xfId="21251"/>
    <cellStyle name="20% - Accent5 3 3 2 2 2 3" xfId="4768"/>
    <cellStyle name="20% - Accent5 3 3 2 2 2 3 2" xfId="4769"/>
    <cellStyle name="20% - Accent5 3 3 2 2 2 3 3" xfId="22544"/>
    <cellStyle name="20% - Accent5 3 3 2 2 2 4" xfId="4770"/>
    <cellStyle name="20% - Accent5 3 3 2 2 2 5" xfId="19957"/>
    <cellStyle name="20% - Accent5 3 3 2 2 3" xfId="4771"/>
    <cellStyle name="20% - Accent5 3 3 2 2 3 2" xfId="4772"/>
    <cellStyle name="20% - Accent5 3 3 2 2 3 2 2" xfId="4773"/>
    <cellStyle name="20% - Accent5 3 3 2 2 3 2 3" xfId="23189"/>
    <cellStyle name="20% - Accent5 3 3 2 2 3 3" xfId="4774"/>
    <cellStyle name="20% - Accent5 3 3 2 2 3 4" xfId="20606"/>
    <cellStyle name="20% - Accent5 3 3 2 2 4" xfId="4775"/>
    <cellStyle name="20% - Accent5 3 3 2 2 4 2" xfId="4776"/>
    <cellStyle name="20% - Accent5 3 3 2 2 4 3" xfId="21899"/>
    <cellStyle name="20% - Accent5 3 3 2 2 5" xfId="4777"/>
    <cellStyle name="20% - Accent5 3 3 2 2 6" xfId="19309"/>
    <cellStyle name="20% - Accent5 3 3 2 3" xfId="4778"/>
    <cellStyle name="20% - Accent5 3 3 2 3 2" xfId="4779"/>
    <cellStyle name="20% - Accent5 3 3 2 3 2 2" xfId="4780"/>
    <cellStyle name="20% - Accent5 3 3 2 3 2 2 2" xfId="4781"/>
    <cellStyle name="20% - Accent5 3 3 2 3 2 2 3" xfId="23512"/>
    <cellStyle name="20% - Accent5 3 3 2 3 2 3" xfId="4782"/>
    <cellStyle name="20% - Accent5 3 3 2 3 2 4" xfId="20929"/>
    <cellStyle name="20% - Accent5 3 3 2 3 3" xfId="4783"/>
    <cellStyle name="20% - Accent5 3 3 2 3 3 2" xfId="4784"/>
    <cellStyle name="20% - Accent5 3 3 2 3 3 3" xfId="22222"/>
    <cellStyle name="20% - Accent5 3 3 2 3 4" xfId="4785"/>
    <cellStyle name="20% - Accent5 3 3 2 3 5" xfId="19635"/>
    <cellStyle name="20% - Accent5 3 3 2 4" xfId="4786"/>
    <cellStyle name="20% - Accent5 3 3 2 4 2" xfId="4787"/>
    <cellStyle name="20% - Accent5 3 3 2 4 2 2" xfId="4788"/>
    <cellStyle name="20% - Accent5 3 3 2 4 2 3" xfId="22867"/>
    <cellStyle name="20% - Accent5 3 3 2 4 3" xfId="4789"/>
    <cellStyle name="20% - Accent5 3 3 2 4 4" xfId="20284"/>
    <cellStyle name="20% - Accent5 3 3 2 5" xfId="4790"/>
    <cellStyle name="20% - Accent5 3 3 2 5 2" xfId="4791"/>
    <cellStyle name="20% - Accent5 3 3 2 5 3" xfId="21577"/>
    <cellStyle name="20% - Accent5 3 3 2 6" xfId="4792"/>
    <cellStyle name="20% - Accent5 3 3 2 7" xfId="18983"/>
    <cellStyle name="20% - Accent5 3 3 3" xfId="4793"/>
    <cellStyle name="20% - Accent5 3 3 3 2" xfId="4794"/>
    <cellStyle name="20% - Accent5 3 3 3 2 2" xfId="4795"/>
    <cellStyle name="20% - Accent5 3 3 3 2 2 2" xfId="4796"/>
    <cellStyle name="20% - Accent5 3 3 3 2 2 2 2" xfId="4797"/>
    <cellStyle name="20% - Accent5 3 3 3 2 2 2 3" xfId="23673"/>
    <cellStyle name="20% - Accent5 3 3 3 2 2 3" xfId="4798"/>
    <cellStyle name="20% - Accent5 3 3 3 2 2 4" xfId="21090"/>
    <cellStyle name="20% - Accent5 3 3 3 2 3" xfId="4799"/>
    <cellStyle name="20% - Accent5 3 3 3 2 3 2" xfId="4800"/>
    <cellStyle name="20% - Accent5 3 3 3 2 3 3" xfId="22383"/>
    <cellStyle name="20% - Accent5 3 3 3 2 4" xfId="4801"/>
    <cellStyle name="20% - Accent5 3 3 3 2 5" xfId="19796"/>
    <cellStyle name="20% - Accent5 3 3 3 3" xfId="4802"/>
    <cellStyle name="20% - Accent5 3 3 3 3 2" xfId="4803"/>
    <cellStyle name="20% - Accent5 3 3 3 3 2 2" xfId="4804"/>
    <cellStyle name="20% - Accent5 3 3 3 3 2 3" xfId="23028"/>
    <cellStyle name="20% - Accent5 3 3 3 3 3" xfId="4805"/>
    <cellStyle name="20% - Accent5 3 3 3 3 4" xfId="20445"/>
    <cellStyle name="20% - Accent5 3 3 3 4" xfId="4806"/>
    <cellStyle name="20% - Accent5 3 3 3 4 2" xfId="4807"/>
    <cellStyle name="20% - Accent5 3 3 3 4 3" xfId="21738"/>
    <cellStyle name="20% - Accent5 3 3 3 5" xfId="4808"/>
    <cellStyle name="20% - Accent5 3 3 3 6" xfId="19148"/>
    <cellStyle name="20% - Accent5 3 3 4" xfId="4809"/>
    <cellStyle name="20% - Accent5 3 3 4 2" xfId="4810"/>
    <cellStyle name="20% - Accent5 3 3 4 2 2" xfId="4811"/>
    <cellStyle name="20% - Accent5 3 3 4 2 2 2" xfId="4812"/>
    <cellStyle name="20% - Accent5 3 3 4 2 2 3" xfId="23351"/>
    <cellStyle name="20% - Accent5 3 3 4 2 3" xfId="4813"/>
    <cellStyle name="20% - Accent5 3 3 4 2 4" xfId="20768"/>
    <cellStyle name="20% - Accent5 3 3 4 3" xfId="4814"/>
    <cellStyle name="20% - Accent5 3 3 4 3 2" xfId="4815"/>
    <cellStyle name="20% - Accent5 3 3 4 3 3" xfId="22061"/>
    <cellStyle name="20% - Accent5 3 3 4 4" xfId="4816"/>
    <cellStyle name="20% - Accent5 3 3 4 5" xfId="19474"/>
    <cellStyle name="20% - Accent5 3 3 5" xfId="4817"/>
    <cellStyle name="20% - Accent5 3 3 5 2" xfId="4818"/>
    <cellStyle name="20% - Accent5 3 3 5 2 2" xfId="4819"/>
    <cellStyle name="20% - Accent5 3 3 5 2 3" xfId="22706"/>
    <cellStyle name="20% - Accent5 3 3 5 3" xfId="4820"/>
    <cellStyle name="20% - Accent5 3 3 5 4" xfId="20123"/>
    <cellStyle name="20% - Accent5 3 3 6" xfId="4821"/>
    <cellStyle name="20% - Accent5 3 3 6 2" xfId="4822"/>
    <cellStyle name="20% - Accent5 3 3 6 3" xfId="21416"/>
    <cellStyle name="20% - Accent5 3 3 7" xfId="4823"/>
    <cellStyle name="20% - Accent5 3 3 8" xfId="18816"/>
    <cellStyle name="20% - Accent5 3 4" xfId="4824"/>
    <cellStyle name="20% - Accent5 3 4 2" xfId="4825"/>
    <cellStyle name="20% - Accent5 3 4 2 2" xfId="4826"/>
    <cellStyle name="20% - Accent5 3 4 2 2 2" xfId="4827"/>
    <cellStyle name="20% - Accent5 3 4 2 2 2 2" xfId="4828"/>
    <cellStyle name="20% - Accent5 3 4 2 2 2 2 2" xfId="4829"/>
    <cellStyle name="20% - Accent5 3 4 2 2 2 2 3" xfId="23754"/>
    <cellStyle name="20% - Accent5 3 4 2 2 2 3" xfId="4830"/>
    <cellStyle name="20% - Accent5 3 4 2 2 2 4" xfId="21171"/>
    <cellStyle name="20% - Accent5 3 4 2 2 3" xfId="4831"/>
    <cellStyle name="20% - Accent5 3 4 2 2 3 2" xfId="4832"/>
    <cellStyle name="20% - Accent5 3 4 2 2 3 3" xfId="22464"/>
    <cellStyle name="20% - Accent5 3 4 2 2 4" xfId="4833"/>
    <cellStyle name="20% - Accent5 3 4 2 2 5" xfId="19877"/>
    <cellStyle name="20% - Accent5 3 4 2 3" xfId="4834"/>
    <cellStyle name="20% - Accent5 3 4 2 3 2" xfId="4835"/>
    <cellStyle name="20% - Accent5 3 4 2 3 2 2" xfId="4836"/>
    <cellStyle name="20% - Accent5 3 4 2 3 2 3" xfId="23109"/>
    <cellStyle name="20% - Accent5 3 4 2 3 3" xfId="4837"/>
    <cellStyle name="20% - Accent5 3 4 2 3 4" xfId="20526"/>
    <cellStyle name="20% - Accent5 3 4 2 4" xfId="4838"/>
    <cellStyle name="20% - Accent5 3 4 2 4 2" xfId="4839"/>
    <cellStyle name="20% - Accent5 3 4 2 4 3" xfId="21819"/>
    <cellStyle name="20% - Accent5 3 4 2 5" xfId="4840"/>
    <cellStyle name="20% - Accent5 3 4 2 6" xfId="19229"/>
    <cellStyle name="20% - Accent5 3 4 3" xfId="4841"/>
    <cellStyle name="20% - Accent5 3 4 3 2" xfId="4842"/>
    <cellStyle name="20% - Accent5 3 4 3 2 2" xfId="4843"/>
    <cellStyle name="20% - Accent5 3 4 3 2 2 2" xfId="4844"/>
    <cellStyle name="20% - Accent5 3 4 3 2 2 3" xfId="23432"/>
    <cellStyle name="20% - Accent5 3 4 3 2 3" xfId="4845"/>
    <cellStyle name="20% - Accent5 3 4 3 2 4" xfId="20849"/>
    <cellStyle name="20% - Accent5 3 4 3 3" xfId="4846"/>
    <cellStyle name="20% - Accent5 3 4 3 3 2" xfId="4847"/>
    <cellStyle name="20% - Accent5 3 4 3 3 3" xfId="22142"/>
    <cellStyle name="20% - Accent5 3 4 3 4" xfId="4848"/>
    <cellStyle name="20% - Accent5 3 4 3 5" xfId="19555"/>
    <cellStyle name="20% - Accent5 3 4 4" xfId="4849"/>
    <cellStyle name="20% - Accent5 3 4 4 2" xfId="4850"/>
    <cellStyle name="20% - Accent5 3 4 4 2 2" xfId="4851"/>
    <cellStyle name="20% - Accent5 3 4 4 2 3" xfId="22787"/>
    <cellStyle name="20% - Accent5 3 4 4 3" xfId="4852"/>
    <cellStyle name="20% - Accent5 3 4 4 4" xfId="20204"/>
    <cellStyle name="20% - Accent5 3 4 5" xfId="4853"/>
    <cellStyle name="20% - Accent5 3 4 5 2" xfId="4854"/>
    <cellStyle name="20% - Accent5 3 4 5 3" xfId="21497"/>
    <cellStyle name="20% - Accent5 3 4 6" xfId="4855"/>
    <cellStyle name="20% - Accent5 3 4 7" xfId="18903"/>
    <cellStyle name="20% - Accent5 3 5" xfId="4856"/>
    <cellStyle name="20% - Accent5 3 5 2" xfId="4857"/>
    <cellStyle name="20% - Accent5 3 5 2 2" xfId="4858"/>
    <cellStyle name="20% - Accent5 3 5 2 2 2" xfId="4859"/>
    <cellStyle name="20% - Accent5 3 5 2 2 2 2" xfId="4860"/>
    <cellStyle name="20% - Accent5 3 5 2 2 2 3" xfId="23593"/>
    <cellStyle name="20% - Accent5 3 5 2 2 3" xfId="4861"/>
    <cellStyle name="20% - Accent5 3 5 2 2 4" xfId="21010"/>
    <cellStyle name="20% - Accent5 3 5 2 3" xfId="4862"/>
    <cellStyle name="20% - Accent5 3 5 2 3 2" xfId="4863"/>
    <cellStyle name="20% - Accent5 3 5 2 3 3" xfId="22303"/>
    <cellStyle name="20% - Accent5 3 5 2 4" xfId="4864"/>
    <cellStyle name="20% - Accent5 3 5 2 5" xfId="19716"/>
    <cellStyle name="20% - Accent5 3 5 3" xfId="4865"/>
    <cellStyle name="20% - Accent5 3 5 3 2" xfId="4866"/>
    <cellStyle name="20% - Accent5 3 5 3 2 2" xfId="4867"/>
    <cellStyle name="20% - Accent5 3 5 3 2 3" xfId="22948"/>
    <cellStyle name="20% - Accent5 3 5 3 3" xfId="4868"/>
    <cellStyle name="20% - Accent5 3 5 3 4" xfId="20365"/>
    <cellStyle name="20% - Accent5 3 5 4" xfId="4869"/>
    <cellStyle name="20% - Accent5 3 5 4 2" xfId="4870"/>
    <cellStyle name="20% - Accent5 3 5 4 3" xfId="21658"/>
    <cellStyle name="20% - Accent5 3 5 5" xfId="4871"/>
    <cellStyle name="20% - Accent5 3 5 6" xfId="19068"/>
    <cellStyle name="20% - Accent5 3 6" xfId="4872"/>
    <cellStyle name="20% - Accent5 3 6 2" xfId="4873"/>
    <cellStyle name="20% - Accent5 3 6 2 2" xfId="4874"/>
    <cellStyle name="20% - Accent5 3 6 2 2 2" xfId="4875"/>
    <cellStyle name="20% - Accent5 3 6 2 2 3" xfId="23270"/>
    <cellStyle name="20% - Accent5 3 6 2 3" xfId="4876"/>
    <cellStyle name="20% - Accent5 3 6 2 4" xfId="20687"/>
    <cellStyle name="20% - Accent5 3 6 3" xfId="4877"/>
    <cellStyle name="20% - Accent5 3 6 3 2" xfId="4878"/>
    <cellStyle name="20% - Accent5 3 6 3 3" xfId="21980"/>
    <cellStyle name="20% - Accent5 3 6 4" xfId="4879"/>
    <cellStyle name="20% - Accent5 3 6 5" xfId="19394"/>
    <cellStyle name="20% - Accent5 3 7" xfId="4880"/>
    <cellStyle name="20% - Accent5 3 7 2" xfId="4881"/>
    <cellStyle name="20% - Accent5 3 7 2 2" xfId="4882"/>
    <cellStyle name="20% - Accent5 3 7 2 3" xfId="22625"/>
    <cellStyle name="20% - Accent5 3 7 3" xfId="4883"/>
    <cellStyle name="20% - Accent5 3 7 4" xfId="20042"/>
    <cellStyle name="20% - Accent5 3 8" xfId="4884"/>
    <cellStyle name="20% - Accent5 3 8 2" xfId="4885"/>
    <cellStyle name="20% - Accent5 3 8 3" xfId="21335"/>
    <cellStyle name="20% - Accent5 3 9" xfId="4886"/>
    <cellStyle name="20% - Accent5 4" xfId="4887"/>
    <cellStyle name="20% - Accent5 4 2" xfId="4888"/>
    <cellStyle name="20% - Accent5 4 2 2" xfId="4889"/>
    <cellStyle name="20% - Accent5 4 2 2 2" xfId="4890"/>
    <cellStyle name="20% - Accent5 4 2 2 2 2" xfId="4891"/>
    <cellStyle name="20% - Accent5 4 2 2 2 2 2" xfId="4892"/>
    <cellStyle name="20% - Accent5 4 2 2 2 2 2 2" xfId="4893"/>
    <cellStyle name="20% - Accent5 4 2 2 2 2 2 2 2" xfId="4894"/>
    <cellStyle name="20% - Accent5 4 2 2 2 2 2 2 3" xfId="23854"/>
    <cellStyle name="20% - Accent5 4 2 2 2 2 2 3" xfId="4895"/>
    <cellStyle name="20% - Accent5 4 2 2 2 2 2 4" xfId="21271"/>
    <cellStyle name="20% - Accent5 4 2 2 2 2 3" xfId="4896"/>
    <cellStyle name="20% - Accent5 4 2 2 2 2 3 2" xfId="4897"/>
    <cellStyle name="20% - Accent5 4 2 2 2 2 3 3" xfId="22564"/>
    <cellStyle name="20% - Accent5 4 2 2 2 2 4" xfId="4898"/>
    <cellStyle name="20% - Accent5 4 2 2 2 2 5" xfId="19977"/>
    <cellStyle name="20% - Accent5 4 2 2 2 3" xfId="4899"/>
    <cellStyle name="20% - Accent5 4 2 2 2 3 2" xfId="4900"/>
    <cellStyle name="20% - Accent5 4 2 2 2 3 2 2" xfId="4901"/>
    <cellStyle name="20% - Accent5 4 2 2 2 3 2 3" xfId="23209"/>
    <cellStyle name="20% - Accent5 4 2 2 2 3 3" xfId="4902"/>
    <cellStyle name="20% - Accent5 4 2 2 2 3 4" xfId="20626"/>
    <cellStyle name="20% - Accent5 4 2 2 2 4" xfId="4903"/>
    <cellStyle name="20% - Accent5 4 2 2 2 4 2" xfId="4904"/>
    <cellStyle name="20% - Accent5 4 2 2 2 4 3" xfId="21919"/>
    <cellStyle name="20% - Accent5 4 2 2 2 5" xfId="4905"/>
    <cellStyle name="20% - Accent5 4 2 2 2 6" xfId="19329"/>
    <cellStyle name="20% - Accent5 4 2 2 3" xfId="4906"/>
    <cellStyle name="20% - Accent5 4 2 2 3 2" xfId="4907"/>
    <cellStyle name="20% - Accent5 4 2 2 3 2 2" xfId="4908"/>
    <cellStyle name="20% - Accent5 4 2 2 3 2 2 2" xfId="4909"/>
    <cellStyle name="20% - Accent5 4 2 2 3 2 2 3" xfId="23532"/>
    <cellStyle name="20% - Accent5 4 2 2 3 2 3" xfId="4910"/>
    <cellStyle name="20% - Accent5 4 2 2 3 2 4" xfId="20949"/>
    <cellStyle name="20% - Accent5 4 2 2 3 3" xfId="4911"/>
    <cellStyle name="20% - Accent5 4 2 2 3 3 2" xfId="4912"/>
    <cellStyle name="20% - Accent5 4 2 2 3 3 3" xfId="22242"/>
    <cellStyle name="20% - Accent5 4 2 2 3 4" xfId="4913"/>
    <cellStyle name="20% - Accent5 4 2 2 3 5" xfId="19655"/>
    <cellStyle name="20% - Accent5 4 2 2 4" xfId="4914"/>
    <cellStyle name="20% - Accent5 4 2 2 4 2" xfId="4915"/>
    <cellStyle name="20% - Accent5 4 2 2 4 2 2" xfId="4916"/>
    <cellStyle name="20% - Accent5 4 2 2 4 2 3" xfId="22887"/>
    <cellStyle name="20% - Accent5 4 2 2 4 3" xfId="4917"/>
    <cellStyle name="20% - Accent5 4 2 2 4 4" xfId="20304"/>
    <cellStyle name="20% - Accent5 4 2 2 5" xfId="4918"/>
    <cellStyle name="20% - Accent5 4 2 2 5 2" xfId="4919"/>
    <cellStyle name="20% - Accent5 4 2 2 5 3" xfId="21597"/>
    <cellStyle name="20% - Accent5 4 2 2 6" xfId="4920"/>
    <cellStyle name="20% - Accent5 4 2 2 7" xfId="19003"/>
    <cellStyle name="20% - Accent5 4 2 3" xfId="4921"/>
    <cellStyle name="20% - Accent5 4 2 3 2" xfId="4922"/>
    <cellStyle name="20% - Accent5 4 2 3 2 2" xfId="4923"/>
    <cellStyle name="20% - Accent5 4 2 3 2 2 2" xfId="4924"/>
    <cellStyle name="20% - Accent5 4 2 3 2 2 2 2" xfId="4925"/>
    <cellStyle name="20% - Accent5 4 2 3 2 2 2 3" xfId="23693"/>
    <cellStyle name="20% - Accent5 4 2 3 2 2 3" xfId="4926"/>
    <cellStyle name="20% - Accent5 4 2 3 2 2 4" xfId="21110"/>
    <cellStyle name="20% - Accent5 4 2 3 2 3" xfId="4927"/>
    <cellStyle name="20% - Accent5 4 2 3 2 3 2" xfId="4928"/>
    <cellStyle name="20% - Accent5 4 2 3 2 3 3" xfId="22403"/>
    <cellStyle name="20% - Accent5 4 2 3 2 4" xfId="4929"/>
    <cellStyle name="20% - Accent5 4 2 3 2 5" xfId="19816"/>
    <cellStyle name="20% - Accent5 4 2 3 3" xfId="4930"/>
    <cellStyle name="20% - Accent5 4 2 3 3 2" xfId="4931"/>
    <cellStyle name="20% - Accent5 4 2 3 3 2 2" xfId="4932"/>
    <cellStyle name="20% - Accent5 4 2 3 3 2 3" xfId="23048"/>
    <cellStyle name="20% - Accent5 4 2 3 3 3" xfId="4933"/>
    <cellStyle name="20% - Accent5 4 2 3 3 4" xfId="20465"/>
    <cellStyle name="20% - Accent5 4 2 3 4" xfId="4934"/>
    <cellStyle name="20% - Accent5 4 2 3 4 2" xfId="4935"/>
    <cellStyle name="20% - Accent5 4 2 3 4 3" xfId="21758"/>
    <cellStyle name="20% - Accent5 4 2 3 5" xfId="4936"/>
    <cellStyle name="20% - Accent5 4 2 3 6" xfId="19168"/>
    <cellStyle name="20% - Accent5 4 2 4" xfId="4937"/>
    <cellStyle name="20% - Accent5 4 2 4 2" xfId="4938"/>
    <cellStyle name="20% - Accent5 4 2 4 2 2" xfId="4939"/>
    <cellStyle name="20% - Accent5 4 2 4 2 2 2" xfId="4940"/>
    <cellStyle name="20% - Accent5 4 2 4 2 2 3" xfId="23371"/>
    <cellStyle name="20% - Accent5 4 2 4 2 3" xfId="4941"/>
    <cellStyle name="20% - Accent5 4 2 4 2 4" xfId="20788"/>
    <cellStyle name="20% - Accent5 4 2 4 3" xfId="4942"/>
    <cellStyle name="20% - Accent5 4 2 4 3 2" xfId="4943"/>
    <cellStyle name="20% - Accent5 4 2 4 3 3" xfId="22081"/>
    <cellStyle name="20% - Accent5 4 2 4 4" xfId="4944"/>
    <cellStyle name="20% - Accent5 4 2 4 5" xfId="19494"/>
    <cellStyle name="20% - Accent5 4 2 5" xfId="4945"/>
    <cellStyle name="20% - Accent5 4 2 5 2" xfId="4946"/>
    <cellStyle name="20% - Accent5 4 2 5 2 2" xfId="4947"/>
    <cellStyle name="20% - Accent5 4 2 5 2 3" xfId="22726"/>
    <cellStyle name="20% - Accent5 4 2 5 3" xfId="4948"/>
    <cellStyle name="20% - Accent5 4 2 5 4" xfId="20143"/>
    <cellStyle name="20% - Accent5 4 2 6" xfId="4949"/>
    <cellStyle name="20% - Accent5 4 2 6 2" xfId="4950"/>
    <cellStyle name="20% - Accent5 4 2 6 3" xfId="21436"/>
    <cellStyle name="20% - Accent5 4 2 7" xfId="4951"/>
    <cellStyle name="20% - Accent5 4 2 8" xfId="18837"/>
    <cellStyle name="20% - Accent5 4 3" xfId="4952"/>
    <cellStyle name="20% - Accent5 4 3 2" xfId="4953"/>
    <cellStyle name="20% - Accent5 4 3 2 2" xfId="4954"/>
    <cellStyle name="20% - Accent5 4 3 2 2 2" xfId="4955"/>
    <cellStyle name="20% - Accent5 4 3 2 2 2 2" xfId="4956"/>
    <cellStyle name="20% - Accent5 4 3 2 2 2 2 2" xfId="4957"/>
    <cellStyle name="20% - Accent5 4 3 2 2 2 2 3" xfId="23774"/>
    <cellStyle name="20% - Accent5 4 3 2 2 2 3" xfId="4958"/>
    <cellStyle name="20% - Accent5 4 3 2 2 2 4" xfId="21191"/>
    <cellStyle name="20% - Accent5 4 3 2 2 3" xfId="4959"/>
    <cellStyle name="20% - Accent5 4 3 2 2 3 2" xfId="4960"/>
    <cellStyle name="20% - Accent5 4 3 2 2 3 3" xfId="22484"/>
    <cellStyle name="20% - Accent5 4 3 2 2 4" xfId="4961"/>
    <cellStyle name="20% - Accent5 4 3 2 2 5" xfId="19897"/>
    <cellStyle name="20% - Accent5 4 3 2 3" xfId="4962"/>
    <cellStyle name="20% - Accent5 4 3 2 3 2" xfId="4963"/>
    <cellStyle name="20% - Accent5 4 3 2 3 2 2" xfId="4964"/>
    <cellStyle name="20% - Accent5 4 3 2 3 2 3" xfId="23129"/>
    <cellStyle name="20% - Accent5 4 3 2 3 3" xfId="4965"/>
    <cellStyle name="20% - Accent5 4 3 2 3 4" xfId="20546"/>
    <cellStyle name="20% - Accent5 4 3 2 4" xfId="4966"/>
    <cellStyle name="20% - Accent5 4 3 2 4 2" xfId="4967"/>
    <cellStyle name="20% - Accent5 4 3 2 4 3" xfId="21839"/>
    <cellStyle name="20% - Accent5 4 3 2 5" xfId="4968"/>
    <cellStyle name="20% - Accent5 4 3 2 6" xfId="19249"/>
    <cellStyle name="20% - Accent5 4 3 3" xfId="4969"/>
    <cellStyle name="20% - Accent5 4 3 3 2" xfId="4970"/>
    <cellStyle name="20% - Accent5 4 3 3 2 2" xfId="4971"/>
    <cellStyle name="20% - Accent5 4 3 3 2 2 2" xfId="4972"/>
    <cellStyle name="20% - Accent5 4 3 3 2 2 3" xfId="23452"/>
    <cellStyle name="20% - Accent5 4 3 3 2 3" xfId="4973"/>
    <cellStyle name="20% - Accent5 4 3 3 2 4" xfId="20869"/>
    <cellStyle name="20% - Accent5 4 3 3 3" xfId="4974"/>
    <cellStyle name="20% - Accent5 4 3 3 3 2" xfId="4975"/>
    <cellStyle name="20% - Accent5 4 3 3 3 3" xfId="22162"/>
    <cellStyle name="20% - Accent5 4 3 3 4" xfId="4976"/>
    <cellStyle name="20% - Accent5 4 3 3 5" xfId="19575"/>
    <cellStyle name="20% - Accent5 4 3 4" xfId="4977"/>
    <cellStyle name="20% - Accent5 4 3 4 2" xfId="4978"/>
    <cellStyle name="20% - Accent5 4 3 4 2 2" xfId="4979"/>
    <cellStyle name="20% - Accent5 4 3 4 2 3" xfId="22807"/>
    <cellStyle name="20% - Accent5 4 3 4 3" xfId="4980"/>
    <cellStyle name="20% - Accent5 4 3 4 4" xfId="20224"/>
    <cellStyle name="20% - Accent5 4 3 5" xfId="4981"/>
    <cellStyle name="20% - Accent5 4 3 5 2" xfId="4982"/>
    <cellStyle name="20% - Accent5 4 3 5 3" xfId="21517"/>
    <cellStyle name="20% - Accent5 4 3 6" xfId="4983"/>
    <cellStyle name="20% - Accent5 4 3 7" xfId="18923"/>
    <cellStyle name="20% - Accent5 4 4" xfId="4984"/>
    <cellStyle name="20% - Accent5 4 4 2" xfId="4985"/>
    <cellStyle name="20% - Accent5 4 4 2 2" xfId="4986"/>
    <cellStyle name="20% - Accent5 4 4 2 2 2" xfId="4987"/>
    <cellStyle name="20% - Accent5 4 4 2 2 2 2" xfId="4988"/>
    <cellStyle name="20% - Accent5 4 4 2 2 2 3" xfId="23613"/>
    <cellStyle name="20% - Accent5 4 4 2 2 3" xfId="4989"/>
    <cellStyle name="20% - Accent5 4 4 2 2 4" xfId="21030"/>
    <cellStyle name="20% - Accent5 4 4 2 3" xfId="4990"/>
    <cellStyle name="20% - Accent5 4 4 2 3 2" xfId="4991"/>
    <cellStyle name="20% - Accent5 4 4 2 3 3" xfId="22323"/>
    <cellStyle name="20% - Accent5 4 4 2 4" xfId="4992"/>
    <cellStyle name="20% - Accent5 4 4 2 5" xfId="19736"/>
    <cellStyle name="20% - Accent5 4 4 3" xfId="4993"/>
    <cellStyle name="20% - Accent5 4 4 3 2" xfId="4994"/>
    <cellStyle name="20% - Accent5 4 4 3 2 2" xfId="4995"/>
    <cellStyle name="20% - Accent5 4 4 3 2 3" xfId="22968"/>
    <cellStyle name="20% - Accent5 4 4 3 3" xfId="4996"/>
    <cellStyle name="20% - Accent5 4 4 3 4" xfId="20385"/>
    <cellStyle name="20% - Accent5 4 4 4" xfId="4997"/>
    <cellStyle name="20% - Accent5 4 4 4 2" xfId="4998"/>
    <cellStyle name="20% - Accent5 4 4 4 3" xfId="21678"/>
    <cellStyle name="20% - Accent5 4 4 5" xfId="4999"/>
    <cellStyle name="20% - Accent5 4 4 6" xfId="19088"/>
    <cellStyle name="20% - Accent5 4 5" xfId="5000"/>
    <cellStyle name="20% - Accent5 4 5 2" xfId="5001"/>
    <cellStyle name="20% - Accent5 4 5 2 2" xfId="5002"/>
    <cellStyle name="20% - Accent5 4 5 2 2 2" xfId="5003"/>
    <cellStyle name="20% - Accent5 4 5 2 2 3" xfId="23290"/>
    <cellStyle name="20% - Accent5 4 5 2 3" xfId="5004"/>
    <cellStyle name="20% - Accent5 4 5 2 4" xfId="20707"/>
    <cellStyle name="20% - Accent5 4 5 3" xfId="5005"/>
    <cellStyle name="20% - Accent5 4 5 3 2" xfId="5006"/>
    <cellStyle name="20% - Accent5 4 5 3 3" xfId="22000"/>
    <cellStyle name="20% - Accent5 4 5 4" xfId="5007"/>
    <cellStyle name="20% - Accent5 4 5 5" xfId="19414"/>
    <cellStyle name="20% - Accent5 4 6" xfId="5008"/>
    <cellStyle name="20% - Accent5 4 6 2" xfId="5009"/>
    <cellStyle name="20% - Accent5 4 6 2 2" xfId="5010"/>
    <cellStyle name="20% - Accent5 4 6 2 3" xfId="22645"/>
    <cellStyle name="20% - Accent5 4 6 3" xfId="5011"/>
    <cellStyle name="20% - Accent5 4 6 4" xfId="20062"/>
    <cellStyle name="20% - Accent5 4 7" xfId="5012"/>
    <cellStyle name="20% - Accent5 4 7 2" xfId="5013"/>
    <cellStyle name="20% - Accent5 4 7 3" xfId="21355"/>
    <cellStyle name="20% - Accent5 4 8" xfId="5014"/>
    <cellStyle name="20% - Accent5 4 9" xfId="18737"/>
    <cellStyle name="20% - Accent5 5" xfId="5015"/>
    <cellStyle name="20% - Accent5 5 2" xfId="5016"/>
    <cellStyle name="20% - Accent5 5 2 2" xfId="5017"/>
    <cellStyle name="20% - Accent5 5 2 2 2" xfId="5018"/>
    <cellStyle name="20% - Accent5 5 2 2 2 2" xfId="5019"/>
    <cellStyle name="20% - Accent5 5 2 2 2 2 2" xfId="5020"/>
    <cellStyle name="20% - Accent5 5 2 2 2 2 2 2" xfId="5021"/>
    <cellStyle name="20% - Accent5 5 2 2 2 2 2 3" xfId="23814"/>
    <cellStyle name="20% - Accent5 5 2 2 2 2 3" xfId="5022"/>
    <cellStyle name="20% - Accent5 5 2 2 2 2 4" xfId="21231"/>
    <cellStyle name="20% - Accent5 5 2 2 2 3" xfId="5023"/>
    <cellStyle name="20% - Accent5 5 2 2 2 3 2" xfId="5024"/>
    <cellStyle name="20% - Accent5 5 2 2 2 3 3" xfId="22524"/>
    <cellStyle name="20% - Accent5 5 2 2 2 4" xfId="5025"/>
    <cellStyle name="20% - Accent5 5 2 2 2 5" xfId="19937"/>
    <cellStyle name="20% - Accent5 5 2 2 3" xfId="5026"/>
    <cellStyle name="20% - Accent5 5 2 2 3 2" xfId="5027"/>
    <cellStyle name="20% - Accent5 5 2 2 3 2 2" xfId="5028"/>
    <cellStyle name="20% - Accent5 5 2 2 3 2 3" xfId="23169"/>
    <cellStyle name="20% - Accent5 5 2 2 3 3" xfId="5029"/>
    <cellStyle name="20% - Accent5 5 2 2 3 4" xfId="20586"/>
    <cellStyle name="20% - Accent5 5 2 2 4" xfId="5030"/>
    <cellStyle name="20% - Accent5 5 2 2 4 2" xfId="5031"/>
    <cellStyle name="20% - Accent5 5 2 2 4 3" xfId="21879"/>
    <cellStyle name="20% - Accent5 5 2 2 5" xfId="5032"/>
    <cellStyle name="20% - Accent5 5 2 2 6" xfId="19289"/>
    <cellStyle name="20% - Accent5 5 2 3" xfId="5033"/>
    <cellStyle name="20% - Accent5 5 2 3 2" xfId="5034"/>
    <cellStyle name="20% - Accent5 5 2 3 2 2" xfId="5035"/>
    <cellStyle name="20% - Accent5 5 2 3 2 2 2" xfId="5036"/>
    <cellStyle name="20% - Accent5 5 2 3 2 2 3" xfId="23492"/>
    <cellStyle name="20% - Accent5 5 2 3 2 3" xfId="5037"/>
    <cellStyle name="20% - Accent5 5 2 3 2 4" xfId="20909"/>
    <cellStyle name="20% - Accent5 5 2 3 3" xfId="5038"/>
    <cellStyle name="20% - Accent5 5 2 3 3 2" xfId="5039"/>
    <cellStyle name="20% - Accent5 5 2 3 3 3" xfId="22202"/>
    <cellStyle name="20% - Accent5 5 2 3 4" xfId="5040"/>
    <cellStyle name="20% - Accent5 5 2 3 5" xfId="19615"/>
    <cellStyle name="20% - Accent5 5 2 4" xfId="5041"/>
    <cellStyle name="20% - Accent5 5 2 4 2" xfId="5042"/>
    <cellStyle name="20% - Accent5 5 2 4 2 2" xfId="5043"/>
    <cellStyle name="20% - Accent5 5 2 4 2 3" xfId="22847"/>
    <cellStyle name="20% - Accent5 5 2 4 3" xfId="5044"/>
    <cellStyle name="20% - Accent5 5 2 4 4" xfId="20264"/>
    <cellStyle name="20% - Accent5 5 2 5" xfId="5045"/>
    <cellStyle name="20% - Accent5 5 2 5 2" xfId="5046"/>
    <cellStyle name="20% - Accent5 5 2 5 3" xfId="21557"/>
    <cellStyle name="20% - Accent5 5 2 6" xfId="5047"/>
    <cellStyle name="20% - Accent5 5 2 7" xfId="18963"/>
    <cellStyle name="20% - Accent5 5 3" xfId="5048"/>
    <cellStyle name="20% - Accent5 5 3 2" xfId="5049"/>
    <cellStyle name="20% - Accent5 5 3 2 2" xfId="5050"/>
    <cellStyle name="20% - Accent5 5 3 2 2 2" xfId="5051"/>
    <cellStyle name="20% - Accent5 5 3 2 2 2 2" xfId="5052"/>
    <cellStyle name="20% - Accent5 5 3 2 2 2 3" xfId="23653"/>
    <cellStyle name="20% - Accent5 5 3 2 2 3" xfId="5053"/>
    <cellStyle name="20% - Accent5 5 3 2 2 4" xfId="21070"/>
    <cellStyle name="20% - Accent5 5 3 2 3" xfId="5054"/>
    <cellStyle name="20% - Accent5 5 3 2 3 2" xfId="5055"/>
    <cellStyle name="20% - Accent5 5 3 2 3 3" xfId="22363"/>
    <cellStyle name="20% - Accent5 5 3 2 4" xfId="5056"/>
    <cellStyle name="20% - Accent5 5 3 2 5" xfId="19776"/>
    <cellStyle name="20% - Accent5 5 3 3" xfId="5057"/>
    <cellStyle name="20% - Accent5 5 3 3 2" xfId="5058"/>
    <cellStyle name="20% - Accent5 5 3 3 2 2" xfId="5059"/>
    <cellStyle name="20% - Accent5 5 3 3 2 3" xfId="23008"/>
    <cellStyle name="20% - Accent5 5 3 3 3" xfId="5060"/>
    <cellStyle name="20% - Accent5 5 3 3 4" xfId="20425"/>
    <cellStyle name="20% - Accent5 5 3 4" xfId="5061"/>
    <cellStyle name="20% - Accent5 5 3 4 2" xfId="5062"/>
    <cellStyle name="20% - Accent5 5 3 4 3" xfId="21718"/>
    <cellStyle name="20% - Accent5 5 3 5" xfId="5063"/>
    <cellStyle name="20% - Accent5 5 3 6" xfId="19128"/>
    <cellStyle name="20% - Accent5 5 4" xfId="5064"/>
    <cellStyle name="20% - Accent5 5 4 2" xfId="5065"/>
    <cellStyle name="20% - Accent5 5 4 2 2" xfId="5066"/>
    <cellStyle name="20% - Accent5 5 4 2 2 2" xfId="5067"/>
    <cellStyle name="20% - Accent5 5 4 2 2 3" xfId="23331"/>
    <cellStyle name="20% - Accent5 5 4 2 3" xfId="5068"/>
    <cellStyle name="20% - Accent5 5 4 2 4" xfId="20748"/>
    <cellStyle name="20% - Accent5 5 4 3" xfId="5069"/>
    <cellStyle name="20% - Accent5 5 4 3 2" xfId="5070"/>
    <cellStyle name="20% - Accent5 5 4 3 3" xfId="22041"/>
    <cellStyle name="20% - Accent5 5 4 4" xfId="5071"/>
    <cellStyle name="20% - Accent5 5 4 5" xfId="19454"/>
    <cellStyle name="20% - Accent5 5 5" xfId="5072"/>
    <cellStyle name="20% - Accent5 5 5 2" xfId="5073"/>
    <cellStyle name="20% - Accent5 5 5 2 2" xfId="5074"/>
    <cellStyle name="20% - Accent5 5 5 2 3" xfId="22686"/>
    <cellStyle name="20% - Accent5 5 5 3" xfId="5075"/>
    <cellStyle name="20% - Accent5 5 5 4" xfId="20103"/>
    <cellStyle name="20% - Accent5 5 6" xfId="5076"/>
    <cellStyle name="20% - Accent5 5 6 2" xfId="5077"/>
    <cellStyle name="20% - Accent5 5 6 3" xfId="21396"/>
    <cellStyle name="20% - Accent5 5 7" xfId="5078"/>
    <cellStyle name="20% - Accent5 5 8" xfId="18790"/>
    <cellStyle name="20% - Accent5 6" xfId="5079"/>
    <cellStyle name="20% - Accent5 6 2" xfId="5080"/>
    <cellStyle name="20% - Accent5 6 2 2" xfId="5081"/>
    <cellStyle name="20% - Accent5 6 2 2 2" xfId="5082"/>
    <cellStyle name="20% - Accent5 6 2 2 2 2" xfId="5083"/>
    <cellStyle name="20% - Accent5 6 2 2 2 2 2" xfId="5084"/>
    <cellStyle name="20% - Accent5 6 2 2 2 2 3" xfId="23734"/>
    <cellStyle name="20% - Accent5 6 2 2 2 3" xfId="5085"/>
    <cellStyle name="20% - Accent5 6 2 2 2 4" xfId="21151"/>
    <cellStyle name="20% - Accent5 6 2 2 3" xfId="5086"/>
    <cellStyle name="20% - Accent5 6 2 2 3 2" xfId="5087"/>
    <cellStyle name="20% - Accent5 6 2 2 3 3" xfId="22444"/>
    <cellStyle name="20% - Accent5 6 2 2 4" xfId="5088"/>
    <cellStyle name="20% - Accent5 6 2 2 5" xfId="19857"/>
    <cellStyle name="20% - Accent5 6 2 3" xfId="5089"/>
    <cellStyle name="20% - Accent5 6 2 3 2" xfId="5090"/>
    <cellStyle name="20% - Accent5 6 2 3 2 2" xfId="5091"/>
    <cellStyle name="20% - Accent5 6 2 3 2 3" xfId="23089"/>
    <cellStyle name="20% - Accent5 6 2 3 3" xfId="5092"/>
    <cellStyle name="20% - Accent5 6 2 3 4" xfId="20506"/>
    <cellStyle name="20% - Accent5 6 2 4" xfId="5093"/>
    <cellStyle name="20% - Accent5 6 2 4 2" xfId="5094"/>
    <cellStyle name="20% - Accent5 6 2 4 3" xfId="21799"/>
    <cellStyle name="20% - Accent5 6 2 5" xfId="5095"/>
    <cellStyle name="20% - Accent5 6 2 6" xfId="19209"/>
    <cellStyle name="20% - Accent5 6 3" xfId="5096"/>
    <cellStyle name="20% - Accent5 6 3 2" xfId="5097"/>
    <cellStyle name="20% - Accent5 6 3 2 2" xfId="5098"/>
    <cellStyle name="20% - Accent5 6 3 2 2 2" xfId="5099"/>
    <cellStyle name="20% - Accent5 6 3 2 2 3" xfId="23412"/>
    <cellStyle name="20% - Accent5 6 3 2 3" xfId="5100"/>
    <cellStyle name="20% - Accent5 6 3 2 4" xfId="20829"/>
    <cellStyle name="20% - Accent5 6 3 3" xfId="5101"/>
    <cellStyle name="20% - Accent5 6 3 3 2" xfId="5102"/>
    <cellStyle name="20% - Accent5 6 3 3 3" xfId="22122"/>
    <cellStyle name="20% - Accent5 6 3 4" xfId="5103"/>
    <cellStyle name="20% - Accent5 6 3 5" xfId="19535"/>
    <cellStyle name="20% - Accent5 6 4" xfId="5104"/>
    <cellStyle name="20% - Accent5 6 4 2" xfId="5105"/>
    <cellStyle name="20% - Accent5 6 4 2 2" xfId="5106"/>
    <cellStyle name="20% - Accent5 6 4 2 3" xfId="22767"/>
    <cellStyle name="20% - Accent5 6 4 3" xfId="5107"/>
    <cellStyle name="20% - Accent5 6 4 4" xfId="20184"/>
    <cellStyle name="20% - Accent5 6 5" xfId="5108"/>
    <cellStyle name="20% - Accent5 6 5 2" xfId="5109"/>
    <cellStyle name="20% - Accent5 6 5 3" xfId="21477"/>
    <cellStyle name="20% - Accent5 6 6" xfId="5110"/>
    <cellStyle name="20% - Accent5 6 7" xfId="18879"/>
    <cellStyle name="20% - Accent5 7" xfId="5111"/>
    <cellStyle name="20% - Accent5 7 2" xfId="5112"/>
    <cellStyle name="20% - Accent5 7 2 2" xfId="5113"/>
    <cellStyle name="20% - Accent5 7 2 2 2" xfId="5114"/>
    <cellStyle name="20% - Accent5 7 2 2 2 2" xfId="5115"/>
    <cellStyle name="20% - Accent5 7 2 2 2 3" xfId="23573"/>
    <cellStyle name="20% - Accent5 7 2 2 3" xfId="5116"/>
    <cellStyle name="20% - Accent5 7 2 2 4" xfId="20990"/>
    <cellStyle name="20% - Accent5 7 2 3" xfId="5117"/>
    <cellStyle name="20% - Accent5 7 2 3 2" xfId="5118"/>
    <cellStyle name="20% - Accent5 7 2 3 3" xfId="22283"/>
    <cellStyle name="20% - Accent5 7 2 4" xfId="5119"/>
    <cellStyle name="20% - Accent5 7 2 5" xfId="19696"/>
    <cellStyle name="20% - Accent5 7 3" xfId="5120"/>
    <cellStyle name="20% - Accent5 7 3 2" xfId="5121"/>
    <cellStyle name="20% - Accent5 7 3 2 2" xfId="5122"/>
    <cellStyle name="20% - Accent5 7 3 2 3" xfId="22928"/>
    <cellStyle name="20% - Accent5 7 3 3" xfId="5123"/>
    <cellStyle name="20% - Accent5 7 3 4" xfId="20345"/>
    <cellStyle name="20% - Accent5 7 4" xfId="5124"/>
    <cellStyle name="20% - Accent5 7 4 2" xfId="5125"/>
    <cellStyle name="20% - Accent5 7 4 3" xfId="21638"/>
    <cellStyle name="20% - Accent5 7 5" xfId="5126"/>
    <cellStyle name="20% - Accent5 7 6" xfId="19044"/>
    <cellStyle name="20% - Accent5 8" xfId="5127"/>
    <cellStyle name="20% - Accent5 8 2" xfId="5128"/>
    <cellStyle name="20% - Accent5 8 2 2" xfId="5129"/>
    <cellStyle name="20% - Accent5 8 2 2 2" xfId="5130"/>
    <cellStyle name="20% - Accent5 8 2 2 3" xfId="23250"/>
    <cellStyle name="20% - Accent5 8 2 3" xfId="5131"/>
    <cellStyle name="20% - Accent5 8 2 4" xfId="20667"/>
    <cellStyle name="20% - Accent5 8 3" xfId="5132"/>
    <cellStyle name="20% - Accent5 8 3 2" xfId="5133"/>
    <cellStyle name="20% - Accent5 8 3 3" xfId="21960"/>
    <cellStyle name="20% - Accent5 8 4" xfId="5134"/>
    <cellStyle name="20% - Accent5 8 5" xfId="19370"/>
    <cellStyle name="20% - Accent5 9" xfId="5135"/>
    <cellStyle name="20% - Accent5 9 2" xfId="5136"/>
    <cellStyle name="20% - Accent5 9 2 2" xfId="5137"/>
    <cellStyle name="20% - Accent5 9 2 3" xfId="22605"/>
    <cellStyle name="20% - Accent5 9 3" xfId="5138"/>
    <cellStyle name="20% - Accent5 9 4" xfId="20018"/>
    <cellStyle name="20% - Accent6 10" xfId="5139"/>
    <cellStyle name="20% - Accent6 10 2" xfId="5140"/>
    <cellStyle name="20% - Accent6 10 3" xfId="21313"/>
    <cellStyle name="20% - Accent6 11" xfId="5141"/>
    <cellStyle name="20% - Accent6 12" xfId="5142"/>
    <cellStyle name="20% - Accent6 13" xfId="5143"/>
    <cellStyle name="20% - Accent6 14" xfId="5144"/>
    <cellStyle name="20% - Accent6 15" xfId="18628"/>
    <cellStyle name="20% - Accent6 2" xfId="5145"/>
    <cellStyle name="20% - Accent6 2 10" xfId="5146"/>
    <cellStyle name="20% - Accent6 2 11" xfId="18635"/>
    <cellStyle name="20% - Accent6 2 2" xfId="5147"/>
    <cellStyle name="20% - Accent6 2 2 10" xfId="18729"/>
    <cellStyle name="20% - Accent6 2 2 2" xfId="5148"/>
    <cellStyle name="20% - Accent6 2 2 2 2" xfId="5149"/>
    <cellStyle name="20% - Accent6 2 2 2 2 2" xfId="5150"/>
    <cellStyle name="20% - Accent6 2 2 2 2 2 2" xfId="5151"/>
    <cellStyle name="20% - Accent6 2 2 2 2 2 2 2" xfId="5152"/>
    <cellStyle name="20% - Accent6 2 2 2 2 2 2 2 2" xfId="5153"/>
    <cellStyle name="20% - Accent6 2 2 2 2 2 2 2 2 2" xfId="5154"/>
    <cellStyle name="20% - Accent6 2 2 2 2 2 2 2 2 2 2" xfId="5155"/>
    <cellStyle name="20% - Accent6 2 2 2 2 2 2 2 2 2 3" xfId="23886"/>
    <cellStyle name="20% - Accent6 2 2 2 2 2 2 2 2 3" xfId="5156"/>
    <cellStyle name="20% - Accent6 2 2 2 2 2 2 2 2 4" xfId="21303"/>
    <cellStyle name="20% - Accent6 2 2 2 2 2 2 2 3" xfId="5157"/>
    <cellStyle name="20% - Accent6 2 2 2 2 2 2 2 3 2" xfId="5158"/>
    <cellStyle name="20% - Accent6 2 2 2 2 2 2 2 3 3" xfId="22596"/>
    <cellStyle name="20% - Accent6 2 2 2 2 2 2 2 4" xfId="5159"/>
    <cellStyle name="20% - Accent6 2 2 2 2 2 2 2 5" xfId="20009"/>
    <cellStyle name="20% - Accent6 2 2 2 2 2 2 3" xfId="5160"/>
    <cellStyle name="20% - Accent6 2 2 2 2 2 2 3 2" xfId="5161"/>
    <cellStyle name="20% - Accent6 2 2 2 2 2 2 3 2 2" xfId="5162"/>
    <cellStyle name="20% - Accent6 2 2 2 2 2 2 3 2 3" xfId="23241"/>
    <cellStyle name="20% - Accent6 2 2 2 2 2 2 3 3" xfId="5163"/>
    <cellStyle name="20% - Accent6 2 2 2 2 2 2 3 4" xfId="20658"/>
    <cellStyle name="20% - Accent6 2 2 2 2 2 2 4" xfId="5164"/>
    <cellStyle name="20% - Accent6 2 2 2 2 2 2 4 2" xfId="5165"/>
    <cellStyle name="20% - Accent6 2 2 2 2 2 2 4 3" xfId="21951"/>
    <cellStyle name="20% - Accent6 2 2 2 2 2 2 5" xfId="5166"/>
    <cellStyle name="20% - Accent6 2 2 2 2 2 2 6" xfId="19361"/>
    <cellStyle name="20% - Accent6 2 2 2 2 2 3" xfId="5167"/>
    <cellStyle name="20% - Accent6 2 2 2 2 2 3 2" xfId="5168"/>
    <cellStyle name="20% - Accent6 2 2 2 2 2 3 2 2" xfId="5169"/>
    <cellStyle name="20% - Accent6 2 2 2 2 2 3 2 2 2" xfId="5170"/>
    <cellStyle name="20% - Accent6 2 2 2 2 2 3 2 2 3" xfId="23564"/>
    <cellStyle name="20% - Accent6 2 2 2 2 2 3 2 3" xfId="5171"/>
    <cellStyle name="20% - Accent6 2 2 2 2 2 3 2 4" xfId="20981"/>
    <cellStyle name="20% - Accent6 2 2 2 2 2 3 3" xfId="5172"/>
    <cellStyle name="20% - Accent6 2 2 2 2 2 3 3 2" xfId="5173"/>
    <cellStyle name="20% - Accent6 2 2 2 2 2 3 3 3" xfId="22274"/>
    <cellStyle name="20% - Accent6 2 2 2 2 2 3 4" xfId="5174"/>
    <cellStyle name="20% - Accent6 2 2 2 2 2 3 5" xfId="19687"/>
    <cellStyle name="20% - Accent6 2 2 2 2 2 4" xfId="5175"/>
    <cellStyle name="20% - Accent6 2 2 2 2 2 4 2" xfId="5176"/>
    <cellStyle name="20% - Accent6 2 2 2 2 2 4 2 2" xfId="5177"/>
    <cellStyle name="20% - Accent6 2 2 2 2 2 4 2 3" xfId="22919"/>
    <cellStyle name="20% - Accent6 2 2 2 2 2 4 3" xfId="5178"/>
    <cellStyle name="20% - Accent6 2 2 2 2 2 4 4" xfId="20336"/>
    <cellStyle name="20% - Accent6 2 2 2 2 2 5" xfId="5179"/>
    <cellStyle name="20% - Accent6 2 2 2 2 2 5 2" xfId="5180"/>
    <cellStyle name="20% - Accent6 2 2 2 2 2 5 3" xfId="21629"/>
    <cellStyle name="20% - Accent6 2 2 2 2 2 6" xfId="5181"/>
    <cellStyle name="20% - Accent6 2 2 2 2 2 7" xfId="19035"/>
    <cellStyle name="20% - Accent6 2 2 2 2 3" xfId="5182"/>
    <cellStyle name="20% - Accent6 2 2 2 2 3 2" xfId="5183"/>
    <cellStyle name="20% - Accent6 2 2 2 2 3 2 2" xfId="5184"/>
    <cellStyle name="20% - Accent6 2 2 2 2 3 2 2 2" xfId="5185"/>
    <cellStyle name="20% - Accent6 2 2 2 2 3 2 2 2 2" xfId="5186"/>
    <cellStyle name="20% - Accent6 2 2 2 2 3 2 2 2 3" xfId="23725"/>
    <cellStyle name="20% - Accent6 2 2 2 2 3 2 2 3" xfId="5187"/>
    <cellStyle name="20% - Accent6 2 2 2 2 3 2 2 4" xfId="21142"/>
    <cellStyle name="20% - Accent6 2 2 2 2 3 2 3" xfId="5188"/>
    <cellStyle name="20% - Accent6 2 2 2 2 3 2 3 2" xfId="5189"/>
    <cellStyle name="20% - Accent6 2 2 2 2 3 2 3 3" xfId="22435"/>
    <cellStyle name="20% - Accent6 2 2 2 2 3 2 4" xfId="5190"/>
    <cellStyle name="20% - Accent6 2 2 2 2 3 2 5" xfId="19848"/>
    <cellStyle name="20% - Accent6 2 2 2 2 3 3" xfId="5191"/>
    <cellStyle name="20% - Accent6 2 2 2 2 3 3 2" xfId="5192"/>
    <cellStyle name="20% - Accent6 2 2 2 2 3 3 2 2" xfId="5193"/>
    <cellStyle name="20% - Accent6 2 2 2 2 3 3 2 3" xfId="23080"/>
    <cellStyle name="20% - Accent6 2 2 2 2 3 3 3" xfId="5194"/>
    <cellStyle name="20% - Accent6 2 2 2 2 3 3 4" xfId="20497"/>
    <cellStyle name="20% - Accent6 2 2 2 2 3 4" xfId="5195"/>
    <cellStyle name="20% - Accent6 2 2 2 2 3 4 2" xfId="5196"/>
    <cellStyle name="20% - Accent6 2 2 2 2 3 4 3" xfId="21790"/>
    <cellStyle name="20% - Accent6 2 2 2 2 3 5" xfId="5197"/>
    <cellStyle name="20% - Accent6 2 2 2 2 3 6" xfId="19200"/>
    <cellStyle name="20% - Accent6 2 2 2 2 4" xfId="5198"/>
    <cellStyle name="20% - Accent6 2 2 2 2 4 2" xfId="5199"/>
    <cellStyle name="20% - Accent6 2 2 2 2 4 2 2" xfId="5200"/>
    <cellStyle name="20% - Accent6 2 2 2 2 4 2 2 2" xfId="5201"/>
    <cellStyle name="20% - Accent6 2 2 2 2 4 2 2 3" xfId="23403"/>
    <cellStyle name="20% - Accent6 2 2 2 2 4 2 3" xfId="5202"/>
    <cellStyle name="20% - Accent6 2 2 2 2 4 2 4" xfId="20820"/>
    <cellStyle name="20% - Accent6 2 2 2 2 4 3" xfId="5203"/>
    <cellStyle name="20% - Accent6 2 2 2 2 4 3 2" xfId="5204"/>
    <cellStyle name="20% - Accent6 2 2 2 2 4 3 3" xfId="22113"/>
    <cellStyle name="20% - Accent6 2 2 2 2 4 4" xfId="5205"/>
    <cellStyle name="20% - Accent6 2 2 2 2 4 5" xfId="19526"/>
    <cellStyle name="20% - Accent6 2 2 2 2 5" xfId="5206"/>
    <cellStyle name="20% - Accent6 2 2 2 2 5 2" xfId="5207"/>
    <cellStyle name="20% - Accent6 2 2 2 2 5 2 2" xfId="5208"/>
    <cellStyle name="20% - Accent6 2 2 2 2 5 2 3" xfId="22758"/>
    <cellStyle name="20% - Accent6 2 2 2 2 5 3" xfId="5209"/>
    <cellStyle name="20% - Accent6 2 2 2 2 5 4" xfId="20175"/>
    <cellStyle name="20% - Accent6 2 2 2 2 6" xfId="5210"/>
    <cellStyle name="20% - Accent6 2 2 2 2 6 2" xfId="5211"/>
    <cellStyle name="20% - Accent6 2 2 2 2 6 3" xfId="21468"/>
    <cellStyle name="20% - Accent6 2 2 2 2 7" xfId="5212"/>
    <cellStyle name="20% - Accent6 2 2 2 2 8" xfId="18870"/>
    <cellStyle name="20% - Accent6 2 2 2 3" xfId="5213"/>
    <cellStyle name="20% - Accent6 2 2 2 3 2" xfId="5214"/>
    <cellStyle name="20% - Accent6 2 2 2 3 2 2" xfId="5215"/>
    <cellStyle name="20% - Accent6 2 2 2 3 2 2 2" xfId="5216"/>
    <cellStyle name="20% - Accent6 2 2 2 3 2 2 2 2" xfId="5217"/>
    <cellStyle name="20% - Accent6 2 2 2 3 2 2 2 2 2" xfId="5218"/>
    <cellStyle name="20% - Accent6 2 2 2 3 2 2 2 2 3" xfId="23806"/>
    <cellStyle name="20% - Accent6 2 2 2 3 2 2 2 3" xfId="5219"/>
    <cellStyle name="20% - Accent6 2 2 2 3 2 2 2 4" xfId="21223"/>
    <cellStyle name="20% - Accent6 2 2 2 3 2 2 3" xfId="5220"/>
    <cellStyle name="20% - Accent6 2 2 2 3 2 2 3 2" xfId="5221"/>
    <cellStyle name="20% - Accent6 2 2 2 3 2 2 3 3" xfId="22516"/>
    <cellStyle name="20% - Accent6 2 2 2 3 2 2 4" xfId="5222"/>
    <cellStyle name="20% - Accent6 2 2 2 3 2 2 5" xfId="19929"/>
    <cellStyle name="20% - Accent6 2 2 2 3 2 3" xfId="5223"/>
    <cellStyle name="20% - Accent6 2 2 2 3 2 3 2" xfId="5224"/>
    <cellStyle name="20% - Accent6 2 2 2 3 2 3 2 2" xfId="5225"/>
    <cellStyle name="20% - Accent6 2 2 2 3 2 3 2 3" xfId="23161"/>
    <cellStyle name="20% - Accent6 2 2 2 3 2 3 3" xfId="5226"/>
    <cellStyle name="20% - Accent6 2 2 2 3 2 3 4" xfId="20578"/>
    <cellStyle name="20% - Accent6 2 2 2 3 2 4" xfId="5227"/>
    <cellStyle name="20% - Accent6 2 2 2 3 2 4 2" xfId="5228"/>
    <cellStyle name="20% - Accent6 2 2 2 3 2 4 3" xfId="21871"/>
    <cellStyle name="20% - Accent6 2 2 2 3 2 5" xfId="5229"/>
    <cellStyle name="20% - Accent6 2 2 2 3 2 6" xfId="19281"/>
    <cellStyle name="20% - Accent6 2 2 2 3 3" xfId="5230"/>
    <cellStyle name="20% - Accent6 2 2 2 3 3 2" xfId="5231"/>
    <cellStyle name="20% - Accent6 2 2 2 3 3 2 2" xfId="5232"/>
    <cellStyle name="20% - Accent6 2 2 2 3 3 2 2 2" xfId="5233"/>
    <cellStyle name="20% - Accent6 2 2 2 3 3 2 2 3" xfId="23484"/>
    <cellStyle name="20% - Accent6 2 2 2 3 3 2 3" xfId="5234"/>
    <cellStyle name="20% - Accent6 2 2 2 3 3 2 4" xfId="20901"/>
    <cellStyle name="20% - Accent6 2 2 2 3 3 3" xfId="5235"/>
    <cellStyle name="20% - Accent6 2 2 2 3 3 3 2" xfId="5236"/>
    <cellStyle name="20% - Accent6 2 2 2 3 3 3 3" xfId="22194"/>
    <cellStyle name="20% - Accent6 2 2 2 3 3 4" xfId="5237"/>
    <cellStyle name="20% - Accent6 2 2 2 3 3 5" xfId="19607"/>
    <cellStyle name="20% - Accent6 2 2 2 3 4" xfId="5238"/>
    <cellStyle name="20% - Accent6 2 2 2 3 4 2" xfId="5239"/>
    <cellStyle name="20% - Accent6 2 2 2 3 4 2 2" xfId="5240"/>
    <cellStyle name="20% - Accent6 2 2 2 3 4 2 3" xfId="22839"/>
    <cellStyle name="20% - Accent6 2 2 2 3 4 3" xfId="5241"/>
    <cellStyle name="20% - Accent6 2 2 2 3 4 4" xfId="20256"/>
    <cellStyle name="20% - Accent6 2 2 2 3 5" xfId="5242"/>
    <cellStyle name="20% - Accent6 2 2 2 3 5 2" xfId="5243"/>
    <cellStyle name="20% - Accent6 2 2 2 3 5 3" xfId="21549"/>
    <cellStyle name="20% - Accent6 2 2 2 3 6" xfId="5244"/>
    <cellStyle name="20% - Accent6 2 2 2 3 7" xfId="18955"/>
    <cellStyle name="20% - Accent6 2 2 2 4" xfId="5245"/>
    <cellStyle name="20% - Accent6 2 2 2 4 2" xfId="5246"/>
    <cellStyle name="20% - Accent6 2 2 2 4 2 2" xfId="5247"/>
    <cellStyle name="20% - Accent6 2 2 2 4 2 2 2" xfId="5248"/>
    <cellStyle name="20% - Accent6 2 2 2 4 2 2 2 2" xfId="5249"/>
    <cellStyle name="20% - Accent6 2 2 2 4 2 2 2 3" xfId="23645"/>
    <cellStyle name="20% - Accent6 2 2 2 4 2 2 3" xfId="5250"/>
    <cellStyle name="20% - Accent6 2 2 2 4 2 2 4" xfId="21062"/>
    <cellStyle name="20% - Accent6 2 2 2 4 2 3" xfId="5251"/>
    <cellStyle name="20% - Accent6 2 2 2 4 2 3 2" xfId="5252"/>
    <cellStyle name="20% - Accent6 2 2 2 4 2 3 3" xfId="22355"/>
    <cellStyle name="20% - Accent6 2 2 2 4 2 4" xfId="5253"/>
    <cellStyle name="20% - Accent6 2 2 2 4 2 5" xfId="19768"/>
    <cellStyle name="20% - Accent6 2 2 2 4 3" xfId="5254"/>
    <cellStyle name="20% - Accent6 2 2 2 4 3 2" xfId="5255"/>
    <cellStyle name="20% - Accent6 2 2 2 4 3 2 2" xfId="5256"/>
    <cellStyle name="20% - Accent6 2 2 2 4 3 2 3" xfId="23000"/>
    <cellStyle name="20% - Accent6 2 2 2 4 3 3" xfId="5257"/>
    <cellStyle name="20% - Accent6 2 2 2 4 3 4" xfId="20417"/>
    <cellStyle name="20% - Accent6 2 2 2 4 4" xfId="5258"/>
    <cellStyle name="20% - Accent6 2 2 2 4 4 2" xfId="5259"/>
    <cellStyle name="20% - Accent6 2 2 2 4 4 3" xfId="21710"/>
    <cellStyle name="20% - Accent6 2 2 2 4 5" xfId="5260"/>
    <cellStyle name="20% - Accent6 2 2 2 4 6" xfId="19120"/>
    <cellStyle name="20% - Accent6 2 2 2 5" xfId="5261"/>
    <cellStyle name="20% - Accent6 2 2 2 5 2" xfId="5262"/>
    <cellStyle name="20% - Accent6 2 2 2 5 2 2" xfId="5263"/>
    <cellStyle name="20% - Accent6 2 2 2 5 2 2 2" xfId="5264"/>
    <cellStyle name="20% - Accent6 2 2 2 5 2 2 3" xfId="23322"/>
    <cellStyle name="20% - Accent6 2 2 2 5 2 3" xfId="5265"/>
    <cellStyle name="20% - Accent6 2 2 2 5 2 4" xfId="20739"/>
    <cellStyle name="20% - Accent6 2 2 2 5 3" xfId="5266"/>
    <cellStyle name="20% - Accent6 2 2 2 5 3 2" xfId="5267"/>
    <cellStyle name="20% - Accent6 2 2 2 5 3 3" xfId="22032"/>
    <cellStyle name="20% - Accent6 2 2 2 5 4" xfId="5268"/>
    <cellStyle name="20% - Accent6 2 2 2 5 5" xfId="19446"/>
    <cellStyle name="20% - Accent6 2 2 2 6" xfId="5269"/>
    <cellStyle name="20% - Accent6 2 2 2 6 2" xfId="5270"/>
    <cellStyle name="20% - Accent6 2 2 2 6 2 2" xfId="5271"/>
    <cellStyle name="20% - Accent6 2 2 2 6 2 3" xfId="22677"/>
    <cellStyle name="20% - Accent6 2 2 2 6 3" xfId="5272"/>
    <cellStyle name="20% - Accent6 2 2 2 6 4" xfId="20094"/>
    <cellStyle name="20% - Accent6 2 2 2 7" xfId="5273"/>
    <cellStyle name="20% - Accent6 2 2 2 7 2" xfId="5274"/>
    <cellStyle name="20% - Accent6 2 2 2 7 3" xfId="21387"/>
    <cellStyle name="20% - Accent6 2 2 2 8" xfId="5275"/>
    <cellStyle name="20% - Accent6 2 2 2 9" xfId="18773"/>
    <cellStyle name="20% - Accent6 2 2 3" xfId="5276"/>
    <cellStyle name="20% - Accent6 2 2 3 2" xfId="5277"/>
    <cellStyle name="20% - Accent6 2 2 3 2 2" xfId="5278"/>
    <cellStyle name="20% - Accent6 2 2 3 2 2 2" xfId="5279"/>
    <cellStyle name="20% - Accent6 2 2 3 2 2 2 2" xfId="5280"/>
    <cellStyle name="20% - Accent6 2 2 3 2 2 2 2 2" xfId="5281"/>
    <cellStyle name="20% - Accent6 2 2 3 2 2 2 2 2 2" xfId="5282"/>
    <cellStyle name="20% - Accent6 2 2 3 2 2 2 2 2 3" xfId="23846"/>
    <cellStyle name="20% - Accent6 2 2 3 2 2 2 2 3" xfId="5283"/>
    <cellStyle name="20% - Accent6 2 2 3 2 2 2 2 4" xfId="21263"/>
    <cellStyle name="20% - Accent6 2 2 3 2 2 2 3" xfId="5284"/>
    <cellStyle name="20% - Accent6 2 2 3 2 2 2 3 2" xfId="5285"/>
    <cellStyle name="20% - Accent6 2 2 3 2 2 2 3 3" xfId="22556"/>
    <cellStyle name="20% - Accent6 2 2 3 2 2 2 4" xfId="5286"/>
    <cellStyle name="20% - Accent6 2 2 3 2 2 2 5" xfId="19969"/>
    <cellStyle name="20% - Accent6 2 2 3 2 2 3" xfId="5287"/>
    <cellStyle name="20% - Accent6 2 2 3 2 2 3 2" xfId="5288"/>
    <cellStyle name="20% - Accent6 2 2 3 2 2 3 2 2" xfId="5289"/>
    <cellStyle name="20% - Accent6 2 2 3 2 2 3 2 3" xfId="23201"/>
    <cellStyle name="20% - Accent6 2 2 3 2 2 3 3" xfId="5290"/>
    <cellStyle name="20% - Accent6 2 2 3 2 2 3 4" xfId="20618"/>
    <cellStyle name="20% - Accent6 2 2 3 2 2 4" xfId="5291"/>
    <cellStyle name="20% - Accent6 2 2 3 2 2 4 2" xfId="5292"/>
    <cellStyle name="20% - Accent6 2 2 3 2 2 4 3" xfId="21911"/>
    <cellStyle name="20% - Accent6 2 2 3 2 2 5" xfId="5293"/>
    <cellStyle name="20% - Accent6 2 2 3 2 2 6" xfId="19321"/>
    <cellStyle name="20% - Accent6 2 2 3 2 3" xfId="5294"/>
    <cellStyle name="20% - Accent6 2 2 3 2 3 2" xfId="5295"/>
    <cellStyle name="20% - Accent6 2 2 3 2 3 2 2" xfId="5296"/>
    <cellStyle name="20% - Accent6 2 2 3 2 3 2 2 2" xfId="5297"/>
    <cellStyle name="20% - Accent6 2 2 3 2 3 2 2 3" xfId="23524"/>
    <cellStyle name="20% - Accent6 2 2 3 2 3 2 3" xfId="5298"/>
    <cellStyle name="20% - Accent6 2 2 3 2 3 2 4" xfId="20941"/>
    <cellStyle name="20% - Accent6 2 2 3 2 3 3" xfId="5299"/>
    <cellStyle name="20% - Accent6 2 2 3 2 3 3 2" xfId="5300"/>
    <cellStyle name="20% - Accent6 2 2 3 2 3 3 3" xfId="22234"/>
    <cellStyle name="20% - Accent6 2 2 3 2 3 4" xfId="5301"/>
    <cellStyle name="20% - Accent6 2 2 3 2 3 5" xfId="19647"/>
    <cellStyle name="20% - Accent6 2 2 3 2 4" xfId="5302"/>
    <cellStyle name="20% - Accent6 2 2 3 2 4 2" xfId="5303"/>
    <cellStyle name="20% - Accent6 2 2 3 2 4 2 2" xfId="5304"/>
    <cellStyle name="20% - Accent6 2 2 3 2 4 2 3" xfId="22879"/>
    <cellStyle name="20% - Accent6 2 2 3 2 4 3" xfId="5305"/>
    <cellStyle name="20% - Accent6 2 2 3 2 4 4" xfId="20296"/>
    <cellStyle name="20% - Accent6 2 2 3 2 5" xfId="5306"/>
    <cellStyle name="20% - Accent6 2 2 3 2 5 2" xfId="5307"/>
    <cellStyle name="20% - Accent6 2 2 3 2 5 3" xfId="21589"/>
    <cellStyle name="20% - Accent6 2 2 3 2 6" xfId="5308"/>
    <cellStyle name="20% - Accent6 2 2 3 2 7" xfId="18995"/>
    <cellStyle name="20% - Accent6 2 2 3 3" xfId="5309"/>
    <cellStyle name="20% - Accent6 2 2 3 3 2" xfId="5310"/>
    <cellStyle name="20% - Accent6 2 2 3 3 2 2" xfId="5311"/>
    <cellStyle name="20% - Accent6 2 2 3 3 2 2 2" xfId="5312"/>
    <cellStyle name="20% - Accent6 2 2 3 3 2 2 2 2" xfId="5313"/>
    <cellStyle name="20% - Accent6 2 2 3 3 2 2 2 3" xfId="23685"/>
    <cellStyle name="20% - Accent6 2 2 3 3 2 2 3" xfId="5314"/>
    <cellStyle name="20% - Accent6 2 2 3 3 2 2 4" xfId="21102"/>
    <cellStyle name="20% - Accent6 2 2 3 3 2 3" xfId="5315"/>
    <cellStyle name="20% - Accent6 2 2 3 3 2 3 2" xfId="5316"/>
    <cellStyle name="20% - Accent6 2 2 3 3 2 3 3" xfId="22395"/>
    <cellStyle name="20% - Accent6 2 2 3 3 2 4" xfId="5317"/>
    <cellStyle name="20% - Accent6 2 2 3 3 2 5" xfId="19808"/>
    <cellStyle name="20% - Accent6 2 2 3 3 3" xfId="5318"/>
    <cellStyle name="20% - Accent6 2 2 3 3 3 2" xfId="5319"/>
    <cellStyle name="20% - Accent6 2 2 3 3 3 2 2" xfId="5320"/>
    <cellStyle name="20% - Accent6 2 2 3 3 3 2 3" xfId="23040"/>
    <cellStyle name="20% - Accent6 2 2 3 3 3 3" xfId="5321"/>
    <cellStyle name="20% - Accent6 2 2 3 3 3 4" xfId="20457"/>
    <cellStyle name="20% - Accent6 2 2 3 3 4" xfId="5322"/>
    <cellStyle name="20% - Accent6 2 2 3 3 4 2" xfId="5323"/>
    <cellStyle name="20% - Accent6 2 2 3 3 4 3" xfId="21750"/>
    <cellStyle name="20% - Accent6 2 2 3 3 5" xfId="5324"/>
    <cellStyle name="20% - Accent6 2 2 3 3 6" xfId="19160"/>
    <cellStyle name="20% - Accent6 2 2 3 4" xfId="5325"/>
    <cellStyle name="20% - Accent6 2 2 3 4 2" xfId="5326"/>
    <cellStyle name="20% - Accent6 2 2 3 4 2 2" xfId="5327"/>
    <cellStyle name="20% - Accent6 2 2 3 4 2 2 2" xfId="5328"/>
    <cellStyle name="20% - Accent6 2 2 3 4 2 2 3" xfId="23363"/>
    <cellStyle name="20% - Accent6 2 2 3 4 2 3" xfId="5329"/>
    <cellStyle name="20% - Accent6 2 2 3 4 2 4" xfId="20780"/>
    <cellStyle name="20% - Accent6 2 2 3 4 3" xfId="5330"/>
    <cellStyle name="20% - Accent6 2 2 3 4 3 2" xfId="5331"/>
    <cellStyle name="20% - Accent6 2 2 3 4 3 3" xfId="22073"/>
    <cellStyle name="20% - Accent6 2 2 3 4 4" xfId="5332"/>
    <cellStyle name="20% - Accent6 2 2 3 4 5" xfId="19486"/>
    <cellStyle name="20% - Accent6 2 2 3 5" xfId="5333"/>
    <cellStyle name="20% - Accent6 2 2 3 5 2" xfId="5334"/>
    <cellStyle name="20% - Accent6 2 2 3 5 2 2" xfId="5335"/>
    <cellStyle name="20% - Accent6 2 2 3 5 2 3" xfId="22718"/>
    <cellStyle name="20% - Accent6 2 2 3 5 3" xfId="5336"/>
    <cellStyle name="20% - Accent6 2 2 3 5 4" xfId="20135"/>
    <cellStyle name="20% - Accent6 2 2 3 6" xfId="5337"/>
    <cellStyle name="20% - Accent6 2 2 3 6 2" xfId="5338"/>
    <cellStyle name="20% - Accent6 2 2 3 6 3" xfId="21428"/>
    <cellStyle name="20% - Accent6 2 2 3 7" xfId="5339"/>
    <cellStyle name="20% - Accent6 2 2 3 8" xfId="18829"/>
    <cellStyle name="20% - Accent6 2 2 4" xfId="5340"/>
    <cellStyle name="20% - Accent6 2 2 4 2" xfId="5341"/>
    <cellStyle name="20% - Accent6 2 2 4 2 2" xfId="5342"/>
    <cellStyle name="20% - Accent6 2 2 4 2 2 2" xfId="5343"/>
    <cellStyle name="20% - Accent6 2 2 4 2 2 2 2" xfId="5344"/>
    <cellStyle name="20% - Accent6 2 2 4 2 2 2 2 2" xfId="5345"/>
    <cellStyle name="20% - Accent6 2 2 4 2 2 2 2 3" xfId="23766"/>
    <cellStyle name="20% - Accent6 2 2 4 2 2 2 3" xfId="5346"/>
    <cellStyle name="20% - Accent6 2 2 4 2 2 2 4" xfId="21183"/>
    <cellStyle name="20% - Accent6 2 2 4 2 2 3" xfId="5347"/>
    <cellStyle name="20% - Accent6 2 2 4 2 2 3 2" xfId="5348"/>
    <cellStyle name="20% - Accent6 2 2 4 2 2 3 3" xfId="22476"/>
    <cellStyle name="20% - Accent6 2 2 4 2 2 4" xfId="5349"/>
    <cellStyle name="20% - Accent6 2 2 4 2 2 5" xfId="19889"/>
    <cellStyle name="20% - Accent6 2 2 4 2 3" xfId="5350"/>
    <cellStyle name="20% - Accent6 2 2 4 2 3 2" xfId="5351"/>
    <cellStyle name="20% - Accent6 2 2 4 2 3 2 2" xfId="5352"/>
    <cellStyle name="20% - Accent6 2 2 4 2 3 2 3" xfId="23121"/>
    <cellStyle name="20% - Accent6 2 2 4 2 3 3" xfId="5353"/>
    <cellStyle name="20% - Accent6 2 2 4 2 3 4" xfId="20538"/>
    <cellStyle name="20% - Accent6 2 2 4 2 4" xfId="5354"/>
    <cellStyle name="20% - Accent6 2 2 4 2 4 2" xfId="5355"/>
    <cellStyle name="20% - Accent6 2 2 4 2 4 3" xfId="21831"/>
    <cellStyle name="20% - Accent6 2 2 4 2 5" xfId="5356"/>
    <cellStyle name="20% - Accent6 2 2 4 2 6" xfId="19241"/>
    <cellStyle name="20% - Accent6 2 2 4 3" xfId="5357"/>
    <cellStyle name="20% - Accent6 2 2 4 3 2" xfId="5358"/>
    <cellStyle name="20% - Accent6 2 2 4 3 2 2" xfId="5359"/>
    <cellStyle name="20% - Accent6 2 2 4 3 2 2 2" xfId="5360"/>
    <cellStyle name="20% - Accent6 2 2 4 3 2 2 3" xfId="23444"/>
    <cellStyle name="20% - Accent6 2 2 4 3 2 3" xfId="5361"/>
    <cellStyle name="20% - Accent6 2 2 4 3 2 4" xfId="20861"/>
    <cellStyle name="20% - Accent6 2 2 4 3 3" xfId="5362"/>
    <cellStyle name="20% - Accent6 2 2 4 3 3 2" xfId="5363"/>
    <cellStyle name="20% - Accent6 2 2 4 3 3 3" xfId="22154"/>
    <cellStyle name="20% - Accent6 2 2 4 3 4" xfId="5364"/>
    <cellStyle name="20% - Accent6 2 2 4 3 5" xfId="19567"/>
    <cellStyle name="20% - Accent6 2 2 4 4" xfId="5365"/>
    <cellStyle name="20% - Accent6 2 2 4 4 2" xfId="5366"/>
    <cellStyle name="20% - Accent6 2 2 4 4 2 2" xfId="5367"/>
    <cellStyle name="20% - Accent6 2 2 4 4 2 3" xfId="22799"/>
    <cellStyle name="20% - Accent6 2 2 4 4 3" xfId="5368"/>
    <cellStyle name="20% - Accent6 2 2 4 4 4" xfId="20216"/>
    <cellStyle name="20% - Accent6 2 2 4 5" xfId="5369"/>
    <cellStyle name="20% - Accent6 2 2 4 5 2" xfId="5370"/>
    <cellStyle name="20% - Accent6 2 2 4 5 3" xfId="21509"/>
    <cellStyle name="20% - Accent6 2 2 4 6" xfId="5371"/>
    <cellStyle name="20% - Accent6 2 2 4 7" xfId="18915"/>
    <cellStyle name="20% - Accent6 2 2 5" xfId="5372"/>
    <cellStyle name="20% - Accent6 2 2 5 2" xfId="5373"/>
    <cellStyle name="20% - Accent6 2 2 5 2 2" xfId="5374"/>
    <cellStyle name="20% - Accent6 2 2 5 2 2 2" xfId="5375"/>
    <cellStyle name="20% - Accent6 2 2 5 2 2 2 2" xfId="5376"/>
    <cellStyle name="20% - Accent6 2 2 5 2 2 2 3" xfId="23605"/>
    <cellStyle name="20% - Accent6 2 2 5 2 2 3" xfId="5377"/>
    <cellStyle name="20% - Accent6 2 2 5 2 2 4" xfId="21022"/>
    <cellStyle name="20% - Accent6 2 2 5 2 3" xfId="5378"/>
    <cellStyle name="20% - Accent6 2 2 5 2 3 2" xfId="5379"/>
    <cellStyle name="20% - Accent6 2 2 5 2 3 3" xfId="22315"/>
    <cellStyle name="20% - Accent6 2 2 5 2 4" xfId="5380"/>
    <cellStyle name="20% - Accent6 2 2 5 2 5" xfId="19728"/>
    <cellStyle name="20% - Accent6 2 2 5 3" xfId="5381"/>
    <cellStyle name="20% - Accent6 2 2 5 3 2" xfId="5382"/>
    <cellStyle name="20% - Accent6 2 2 5 3 2 2" xfId="5383"/>
    <cellStyle name="20% - Accent6 2 2 5 3 2 3" xfId="22960"/>
    <cellStyle name="20% - Accent6 2 2 5 3 3" xfId="5384"/>
    <cellStyle name="20% - Accent6 2 2 5 3 4" xfId="20377"/>
    <cellStyle name="20% - Accent6 2 2 5 4" xfId="5385"/>
    <cellStyle name="20% - Accent6 2 2 5 4 2" xfId="5386"/>
    <cellStyle name="20% - Accent6 2 2 5 4 3" xfId="21670"/>
    <cellStyle name="20% - Accent6 2 2 5 5" xfId="5387"/>
    <cellStyle name="20% - Accent6 2 2 5 6" xfId="19080"/>
    <cellStyle name="20% - Accent6 2 2 6" xfId="5388"/>
    <cellStyle name="20% - Accent6 2 2 6 2" xfId="5389"/>
    <cellStyle name="20% - Accent6 2 2 6 2 2" xfId="5390"/>
    <cellStyle name="20% - Accent6 2 2 6 2 2 2" xfId="5391"/>
    <cellStyle name="20% - Accent6 2 2 6 2 2 3" xfId="23282"/>
    <cellStyle name="20% - Accent6 2 2 6 2 3" xfId="5392"/>
    <cellStyle name="20% - Accent6 2 2 6 2 4" xfId="20699"/>
    <cellStyle name="20% - Accent6 2 2 6 3" xfId="5393"/>
    <cellStyle name="20% - Accent6 2 2 6 3 2" xfId="5394"/>
    <cellStyle name="20% - Accent6 2 2 6 3 3" xfId="21992"/>
    <cellStyle name="20% - Accent6 2 2 6 4" xfId="5395"/>
    <cellStyle name="20% - Accent6 2 2 6 5" xfId="19406"/>
    <cellStyle name="20% - Accent6 2 2 7" xfId="5396"/>
    <cellStyle name="20% - Accent6 2 2 7 2" xfId="5397"/>
    <cellStyle name="20% - Accent6 2 2 7 2 2" xfId="5398"/>
    <cellStyle name="20% - Accent6 2 2 7 2 3" xfId="22637"/>
    <cellStyle name="20% - Accent6 2 2 7 3" xfId="5399"/>
    <cellStyle name="20% - Accent6 2 2 7 4" xfId="20054"/>
    <cellStyle name="20% - Accent6 2 2 8" xfId="5400"/>
    <cellStyle name="20% - Accent6 2 2 8 2" xfId="5401"/>
    <cellStyle name="20% - Accent6 2 2 8 3" xfId="21347"/>
    <cellStyle name="20% - Accent6 2 2 9" xfId="5402"/>
    <cellStyle name="20% - Accent6 2 3" xfId="5403"/>
    <cellStyle name="20% - Accent6 2 3 2" xfId="5404"/>
    <cellStyle name="20% - Accent6 2 3 2 2" xfId="5405"/>
    <cellStyle name="20% - Accent6 2 3 2 2 2" xfId="5406"/>
    <cellStyle name="20% - Accent6 2 3 2 2 2 2" xfId="5407"/>
    <cellStyle name="20% - Accent6 2 3 2 2 2 2 2" xfId="5408"/>
    <cellStyle name="20% - Accent6 2 3 2 2 2 2 2 2" xfId="5409"/>
    <cellStyle name="20% - Accent6 2 3 2 2 2 2 2 2 2" xfId="5410"/>
    <cellStyle name="20% - Accent6 2 3 2 2 2 2 2 2 3" xfId="23866"/>
    <cellStyle name="20% - Accent6 2 3 2 2 2 2 2 3" xfId="5411"/>
    <cellStyle name="20% - Accent6 2 3 2 2 2 2 2 4" xfId="21283"/>
    <cellStyle name="20% - Accent6 2 3 2 2 2 2 3" xfId="5412"/>
    <cellStyle name="20% - Accent6 2 3 2 2 2 2 3 2" xfId="5413"/>
    <cellStyle name="20% - Accent6 2 3 2 2 2 2 3 3" xfId="22576"/>
    <cellStyle name="20% - Accent6 2 3 2 2 2 2 4" xfId="5414"/>
    <cellStyle name="20% - Accent6 2 3 2 2 2 2 5" xfId="19989"/>
    <cellStyle name="20% - Accent6 2 3 2 2 2 3" xfId="5415"/>
    <cellStyle name="20% - Accent6 2 3 2 2 2 3 2" xfId="5416"/>
    <cellStyle name="20% - Accent6 2 3 2 2 2 3 2 2" xfId="5417"/>
    <cellStyle name="20% - Accent6 2 3 2 2 2 3 2 3" xfId="23221"/>
    <cellStyle name="20% - Accent6 2 3 2 2 2 3 3" xfId="5418"/>
    <cellStyle name="20% - Accent6 2 3 2 2 2 3 4" xfId="20638"/>
    <cellStyle name="20% - Accent6 2 3 2 2 2 4" xfId="5419"/>
    <cellStyle name="20% - Accent6 2 3 2 2 2 4 2" xfId="5420"/>
    <cellStyle name="20% - Accent6 2 3 2 2 2 4 3" xfId="21931"/>
    <cellStyle name="20% - Accent6 2 3 2 2 2 5" xfId="5421"/>
    <cellStyle name="20% - Accent6 2 3 2 2 2 6" xfId="19341"/>
    <cellStyle name="20% - Accent6 2 3 2 2 3" xfId="5422"/>
    <cellStyle name="20% - Accent6 2 3 2 2 3 2" xfId="5423"/>
    <cellStyle name="20% - Accent6 2 3 2 2 3 2 2" xfId="5424"/>
    <cellStyle name="20% - Accent6 2 3 2 2 3 2 2 2" xfId="5425"/>
    <cellStyle name="20% - Accent6 2 3 2 2 3 2 2 3" xfId="23544"/>
    <cellStyle name="20% - Accent6 2 3 2 2 3 2 3" xfId="5426"/>
    <cellStyle name="20% - Accent6 2 3 2 2 3 2 4" xfId="20961"/>
    <cellStyle name="20% - Accent6 2 3 2 2 3 3" xfId="5427"/>
    <cellStyle name="20% - Accent6 2 3 2 2 3 3 2" xfId="5428"/>
    <cellStyle name="20% - Accent6 2 3 2 2 3 3 3" xfId="22254"/>
    <cellStyle name="20% - Accent6 2 3 2 2 3 4" xfId="5429"/>
    <cellStyle name="20% - Accent6 2 3 2 2 3 5" xfId="19667"/>
    <cellStyle name="20% - Accent6 2 3 2 2 4" xfId="5430"/>
    <cellStyle name="20% - Accent6 2 3 2 2 4 2" xfId="5431"/>
    <cellStyle name="20% - Accent6 2 3 2 2 4 2 2" xfId="5432"/>
    <cellStyle name="20% - Accent6 2 3 2 2 4 2 3" xfId="22899"/>
    <cellStyle name="20% - Accent6 2 3 2 2 4 3" xfId="5433"/>
    <cellStyle name="20% - Accent6 2 3 2 2 4 4" xfId="20316"/>
    <cellStyle name="20% - Accent6 2 3 2 2 5" xfId="5434"/>
    <cellStyle name="20% - Accent6 2 3 2 2 5 2" xfId="5435"/>
    <cellStyle name="20% - Accent6 2 3 2 2 5 3" xfId="21609"/>
    <cellStyle name="20% - Accent6 2 3 2 2 6" xfId="5436"/>
    <cellStyle name="20% - Accent6 2 3 2 2 7" xfId="19015"/>
    <cellStyle name="20% - Accent6 2 3 2 3" xfId="5437"/>
    <cellStyle name="20% - Accent6 2 3 2 3 2" xfId="5438"/>
    <cellStyle name="20% - Accent6 2 3 2 3 2 2" xfId="5439"/>
    <cellStyle name="20% - Accent6 2 3 2 3 2 2 2" xfId="5440"/>
    <cellStyle name="20% - Accent6 2 3 2 3 2 2 2 2" xfId="5441"/>
    <cellStyle name="20% - Accent6 2 3 2 3 2 2 2 3" xfId="23705"/>
    <cellStyle name="20% - Accent6 2 3 2 3 2 2 3" xfId="5442"/>
    <cellStyle name="20% - Accent6 2 3 2 3 2 2 4" xfId="21122"/>
    <cellStyle name="20% - Accent6 2 3 2 3 2 3" xfId="5443"/>
    <cellStyle name="20% - Accent6 2 3 2 3 2 3 2" xfId="5444"/>
    <cellStyle name="20% - Accent6 2 3 2 3 2 3 3" xfId="22415"/>
    <cellStyle name="20% - Accent6 2 3 2 3 2 4" xfId="5445"/>
    <cellStyle name="20% - Accent6 2 3 2 3 2 5" xfId="19828"/>
    <cellStyle name="20% - Accent6 2 3 2 3 3" xfId="5446"/>
    <cellStyle name="20% - Accent6 2 3 2 3 3 2" xfId="5447"/>
    <cellStyle name="20% - Accent6 2 3 2 3 3 2 2" xfId="5448"/>
    <cellStyle name="20% - Accent6 2 3 2 3 3 2 3" xfId="23060"/>
    <cellStyle name="20% - Accent6 2 3 2 3 3 3" xfId="5449"/>
    <cellStyle name="20% - Accent6 2 3 2 3 3 4" xfId="20477"/>
    <cellStyle name="20% - Accent6 2 3 2 3 4" xfId="5450"/>
    <cellStyle name="20% - Accent6 2 3 2 3 4 2" xfId="5451"/>
    <cellStyle name="20% - Accent6 2 3 2 3 4 3" xfId="21770"/>
    <cellStyle name="20% - Accent6 2 3 2 3 5" xfId="5452"/>
    <cellStyle name="20% - Accent6 2 3 2 3 6" xfId="19180"/>
    <cellStyle name="20% - Accent6 2 3 2 4" xfId="5453"/>
    <cellStyle name="20% - Accent6 2 3 2 4 2" xfId="5454"/>
    <cellStyle name="20% - Accent6 2 3 2 4 2 2" xfId="5455"/>
    <cellStyle name="20% - Accent6 2 3 2 4 2 2 2" xfId="5456"/>
    <cellStyle name="20% - Accent6 2 3 2 4 2 2 3" xfId="23383"/>
    <cellStyle name="20% - Accent6 2 3 2 4 2 3" xfId="5457"/>
    <cellStyle name="20% - Accent6 2 3 2 4 2 4" xfId="20800"/>
    <cellStyle name="20% - Accent6 2 3 2 4 3" xfId="5458"/>
    <cellStyle name="20% - Accent6 2 3 2 4 3 2" xfId="5459"/>
    <cellStyle name="20% - Accent6 2 3 2 4 3 3" xfId="22093"/>
    <cellStyle name="20% - Accent6 2 3 2 4 4" xfId="5460"/>
    <cellStyle name="20% - Accent6 2 3 2 4 5" xfId="19506"/>
    <cellStyle name="20% - Accent6 2 3 2 5" xfId="5461"/>
    <cellStyle name="20% - Accent6 2 3 2 5 2" xfId="5462"/>
    <cellStyle name="20% - Accent6 2 3 2 5 2 2" xfId="5463"/>
    <cellStyle name="20% - Accent6 2 3 2 5 2 3" xfId="22738"/>
    <cellStyle name="20% - Accent6 2 3 2 5 3" xfId="5464"/>
    <cellStyle name="20% - Accent6 2 3 2 5 4" xfId="20155"/>
    <cellStyle name="20% - Accent6 2 3 2 6" xfId="5465"/>
    <cellStyle name="20% - Accent6 2 3 2 6 2" xfId="5466"/>
    <cellStyle name="20% - Accent6 2 3 2 6 3" xfId="21448"/>
    <cellStyle name="20% - Accent6 2 3 2 7" xfId="5467"/>
    <cellStyle name="20% - Accent6 2 3 2 8" xfId="18850"/>
    <cellStyle name="20% - Accent6 2 3 3" xfId="5468"/>
    <cellStyle name="20% - Accent6 2 3 3 2" xfId="5469"/>
    <cellStyle name="20% - Accent6 2 3 3 2 2" xfId="5470"/>
    <cellStyle name="20% - Accent6 2 3 3 2 2 2" xfId="5471"/>
    <cellStyle name="20% - Accent6 2 3 3 2 2 2 2" xfId="5472"/>
    <cellStyle name="20% - Accent6 2 3 3 2 2 2 2 2" xfId="5473"/>
    <cellStyle name="20% - Accent6 2 3 3 2 2 2 2 3" xfId="23786"/>
    <cellStyle name="20% - Accent6 2 3 3 2 2 2 3" xfId="5474"/>
    <cellStyle name="20% - Accent6 2 3 3 2 2 2 4" xfId="21203"/>
    <cellStyle name="20% - Accent6 2 3 3 2 2 3" xfId="5475"/>
    <cellStyle name="20% - Accent6 2 3 3 2 2 3 2" xfId="5476"/>
    <cellStyle name="20% - Accent6 2 3 3 2 2 3 3" xfId="22496"/>
    <cellStyle name="20% - Accent6 2 3 3 2 2 4" xfId="5477"/>
    <cellStyle name="20% - Accent6 2 3 3 2 2 5" xfId="19909"/>
    <cellStyle name="20% - Accent6 2 3 3 2 3" xfId="5478"/>
    <cellStyle name="20% - Accent6 2 3 3 2 3 2" xfId="5479"/>
    <cellStyle name="20% - Accent6 2 3 3 2 3 2 2" xfId="5480"/>
    <cellStyle name="20% - Accent6 2 3 3 2 3 2 3" xfId="23141"/>
    <cellStyle name="20% - Accent6 2 3 3 2 3 3" xfId="5481"/>
    <cellStyle name="20% - Accent6 2 3 3 2 3 4" xfId="20558"/>
    <cellStyle name="20% - Accent6 2 3 3 2 4" xfId="5482"/>
    <cellStyle name="20% - Accent6 2 3 3 2 4 2" xfId="5483"/>
    <cellStyle name="20% - Accent6 2 3 3 2 4 3" xfId="21851"/>
    <cellStyle name="20% - Accent6 2 3 3 2 5" xfId="5484"/>
    <cellStyle name="20% - Accent6 2 3 3 2 6" xfId="19261"/>
    <cellStyle name="20% - Accent6 2 3 3 3" xfId="5485"/>
    <cellStyle name="20% - Accent6 2 3 3 3 2" xfId="5486"/>
    <cellStyle name="20% - Accent6 2 3 3 3 2 2" xfId="5487"/>
    <cellStyle name="20% - Accent6 2 3 3 3 2 2 2" xfId="5488"/>
    <cellStyle name="20% - Accent6 2 3 3 3 2 2 3" xfId="23464"/>
    <cellStyle name="20% - Accent6 2 3 3 3 2 3" xfId="5489"/>
    <cellStyle name="20% - Accent6 2 3 3 3 2 4" xfId="20881"/>
    <cellStyle name="20% - Accent6 2 3 3 3 3" xfId="5490"/>
    <cellStyle name="20% - Accent6 2 3 3 3 3 2" xfId="5491"/>
    <cellStyle name="20% - Accent6 2 3 3 3 3 3" xfId="22174"/>
    <cellStyle name="20% - Accent6 2 3 3 3 4" xfId="5492"/>
    <cellStyle name="20% - Accent6 2 3 3 3 5" xfId="19587"/>
    <cellStyle name="20% - Accent6 2 3 3 4" xfId="5493"/>
    <cellStyle name="20% - Accent6 2 3 3 4 2" xfId="5494"/>
    <cellStyle name="20% - Accent6 2 3 3 4 2 2" xfId="5495"/>
    <cellStyle name="20% - Accent6 2 3 3 4 2 3" xfId="22819"/>
    <cellStyle name="20% - Accent6 2 3 3 4 3" xfId="5496"/>
    <cellStyle name="20% - Accent6 2 3 3 4 4" xfId="20236"/>
    <cellStyle name="20% - Accent6 2 3 3 5" xfId="5497"/>
    <cellStyle name="20% - Accent6 2 3 3 5 2" xfId="5498"/>
    <cellStyle name="20% - Accent6 2 3 3 5 3" xfId="21529"/>
    <cellStyle name="20% - Accent6 2 3 3 6" xfId="5499"/>
    <cellStyle name="20% - Accent6 2 3 3 7" xfId="18935"/>
    <cellStyle name="20% - Accent6 2 3 4" xfId="5500"/>
    <cellStyle name="20% - Accent6 2 3 4 2" xfId="5501"/>
    <cellStyle name="20% - Accent6 2 3 4 2 2" xfId="5502"/>
    <cellStyle name="20% - Accent6 2 3 4 2 2 2" xfId="5503"/>
    <cellStyle name="20% - Accent6 2 3 4 2 2 2 2" xfId="5504"/>
    <cellStyle name="20% - Accent6 2 3 4 2 2 2 3" xfId="23625"/>
    <cellStyle name="20% - Accent6 2 3 4 2 2 3" xfId="5505"/>
    <cellStyle name="20% - Accent6 2 3 4 2 2 4" xfId="21042"/>
    <cellStyle name="20% - Accent6 2 3 4 2 3" xfId="5506"/>
    <cellStyle name="20% - Accent6 2 3 4 2 3 2" xfId="5507"/>
    <cellStyle name="20% - Accent6 2 3 4 2 3 3" xfId="22335"/>
    <cellStyle name="20% - Accent6 2 3 4 2 4" xfId="5508"/>
    <cellStyle name="20% - Accent6 2 3 4 2 5" xfId="19748"/>
    <cellStyle name="20% - Accent6 2 3 4 3" xfId="5509"/>
    <cellStyle name="20% - Accent6 2 3 4 3 2" xfId="5510"/>
    <cellStyle name="20% - Accent6 2 3 4 3 2 2" xfId="5511"/>
    <cellStyle name="20% - Accent6 2 3 4 3 2 3" xfId="22980"/>
    <cellStyle name="20% - Accent6 2 3 4 3 3" xfId="5512"/>
    <cellStyle name="20% - Accent6 2 3 4 3 4" xfId="20397"/>
    <cellStyle name="20% - Accent6 2 3 4 4" xfId="5513"/>
    <cellStyle name="20% - Accent6 2 3 4 4 2" xfId="5514"/>
    <cellStyle name="20% - Accent6 2 3 4 4 3" xfId="21690"/>
    <cellStyle name="20% - Accent6 2 3 4 5" xfId="5515"/>
    <cellStyle name="20% - Accent6 2 3 4 6" xfId="19100"/>
    <cellStyle name="20% - Accent6 2 3 5" xfId="5516"/>
    <cellStyle name="20% - Accent6 2 3 5 2" xfId="5517"/>
    <cellStyle name="20% - Accent6 2 3 5 2 2" xfId="5518"/>
    <cellStyle name="20% - Accent6 2 3 5 2 2 2" xfId="5519"/>
    <cellStyle name="20% - Accent6 2 3 5 2 2 3" xfId="23302"/>
    <cellStyle name="20% - Accent6 2 3 5 2 3" xfId="5520"/>
    <cellStyle name="20% - Accent6 2 3 5 2 4" xfId="20719"/>
    <cellStyle name="20% - Accent6 2 3 5 3" xfId="5521"/>
    <cellStyle name="20% - Accent6 2 3 5 3 2" xfId="5522"/>
    <cellStyle name="20% - Accent6 2 3 5 3 3" xfId="22012"/>
    <cellStyle name="20% - Accent6 2 3 5 4" xfId="5523"/>
    <cellStyle name="20% - Accent6 2 3 5 5" xfId="19426"/>
    <cellStyle name="20% - Accent6 2 3 6" xfId="5524"/>
    <cellStyle name="20% - Accent6 2 3 6 2" xfId="5525"/>
    <cellStyle name="20% - Accent6 2 3 6 2 2" xfId="5526"/>
    <cellStyle name="20% - Accent6 2 3 6 2 3" xfId="22657"/>
    <cellStyle name="20% - Accent6 2 3 6 3" xfId="5527"/>
    <cellStyle name="20% - Accent6 2 3 6 4" xfId="20074"/>
    <cellStyle name="20% - Accent6 2 3 7" xfId="5528"/>
    <cellStyle name="20% - Accent6 2 3 7 2" xfId="5529"/>
    <cellStyle name="20% - Accent6 2 3 7 3" xfId="21367"/>
    <cellStyle name="20% - Accent6 2 3 8" xfId="5530"/>
    <cellStyle name="20% - Accent6 2 3 9" xfId="18753"/>
    <cellStyle name="20% - Accent6 2 4" xfId="5531"/>
    <cellStyle name="20% - Accent6 2 4 2" xfId="5532"/>
    <cellStyle name="20% - Accent6 2 4 2 2" xfId="5533"/>
    <cellStyle name="20% - Accent6 2 4 2 2 2" xfId="5534"/>
    <cellStyle name="20% - Accent6 2 4 2 2 2 2" xfId="5535"/>
    <cellStyle name="20% - Accent6 2 4 2 2 2 2 2" xfId="5536"/>
    <cellStyle name="20% - Accent6 2 4 2 2 2 2 2 2" xfId="5537"/>
    <cellStyle name="20% - Accent6 2 4 2 2 2 2 2 3" xfId="23826"/>
    <cellStyle name="20% - Accent6 2 4 2 2 2 2 3" xfId="5538"/>
    <cellStyle name="20% - Accent6 2 4 2 2 2 2 4" xfId="21243"/>
    <cellStyle name="20% - Accent6 2 4 2 2 2 3" xfId="5539"/>
    <cellStyle name="20% - Accent6 2 4 2 2 2 3 2" xfId="5540"/>
    <cellStyle name="20% - Accent6 2 4 2 2 2 3 3" xfId="22536"/>
    <cellStyle name="20% - Accent6 2 4 2 2 2 4" xfId="5541"/>
    <cellStyle name="20% - Accent6 2 4 2 2 2 5" xfId="19949"/>
    <cellStyle name="20% - Accent6 2 4 2 2 3" xfId="5542"/>
    <cellStyle name="20% - Accent6 2 4 2 2 3 2" xfId="5543"/>
    <cellStyle name="20% - Accent6 2 4 2 2 3 2 2" xfId="5544"/>
    <cellStyle name="20% - Accent6 2 4 2 2 3 2 3" xfId="23181"/>
    <cellStyle name="20% - Accent6 2 4 2 2 3 3" xfId="5545"/>
    <cellStyle name="20% - Accent6 2 4 2 2 3 4" xfId="20598"/>
    <cellStyle name="20% - Accent6 2 4 2 2 4" xfId="5546"/>
    <cellStyle name="20% - Accent6 2 4 2 2 4 2" xfId="5547"/>
    <cellStyle name="20% - Accent6 2 4 2 2 4 3" xfId="21891"/>
    <cellStyle name="20% - Accent6 2 4 2 2 5" xfId="5548"/>
    <cellStyle name="20% - Accent6 2 4 2 2 6" xfId="19301"/>
    <cellStyle name="20% - Accent6 2 4 2 3" xfId="5549"/>
    <cellStyle name="20% - Accent6 2 4 2 3 2" xfId="5550"/>
    <cellStyle name="20% - Accent6 2 4 2 3 2 2" xfId="5551"/>
    <cellStyle name="20% - Accent6 2 4 2 3 2 2 2" xfId="5552"/>
    <cellStyle name="20% - Accent6 2 4 2 3 2 2 3" xfId="23504"/>
    <cellStyle name="20% - Accent6 2 4 2 3 2 3" xfId="5553"/>
    <cellStyle name="20% - Accent6 2 4 2 3 2 4" xfId="20921"/>
    <cellStyle name="20% - Accent6 2 4 2 3 3" xfId="5554"/>
    <cellStyle name="20% - Accent6 2 4 2 3 3 2" xfId="5555"/>
    <cellStyle name="20% - Accent6 2 4 2 3 3 3" xfId="22214"/>
    <cellStyle name="20% - Accent6 2 4 2 3 4" xfId="5556"/>
    <cellStyle name="20% - Accent6 2 4 2 3 5" xfId="19627"/>
    <cellStyle name="20% - Accent6 2 4 2 4" xfId="5557"/>
    <cellStyle name="20% - Accent6 2 4 2 4 2" xfId="5558"/>
    <cellStyle name="20% - Accent6 2 4 2 4 2 2" xfId="5559"/>
    <cellStyle name="20% - Accent6 2 4 2 4 2 3" xfId="22859"/>
    <cellStyle name="20% - Accent6 2 4 2 4 3" xfId="5560"/>
    <cellStyle name="20% - Accent6 2 4 2 4 4" xfId="20276"/>
    <cellStyle name="20% - Accent6 2 4 2 5" xfId="5561"/>
    <cellStyle name="20% - Accent6 2 4 2 5 2" xfId="5562"/>
    <cellStyle name="20% - Accent6 2 4 2 5 3" xfId="21569"/>
    <cellStyle name="20% - Accent6 2 4 2 6" xfId="5563"/>
    <cellStyle name="20% - Accent6 2 4 2 7" xfId="18975"/>
    <cellStyle name="20% - Accent6 2 4 3" xfId="5564"/>
    <cellStyle name="20% - Accent6 2 4 3 2" xfId="5565"/>
    <cellStyle name="20% - Accent6 2 4 3 2 2" xfId="5566"/>
    <cellStyle name="20% - Accent6 2 4 3 2 2 2" xfId="5567"/>
    <cellStyle name="20% - Accent6 2 4 3 2 2 2 2" xfId="5568"/>
    <cellStyle name="20% - Accent6 2 4 3 2 2 2 3" xfId="23665"/>
    <cellStyle name="20% - Accent6 2 4 3 2 2 3" xfId="5569"/>
    <cellStyle name="20% - Accent6 2 4 3 2 2 4" xfId="21082"/>
    <cellStyle name="20% - Accent6 2 4 3 2 3" xfId="5570"/>
    <cellStyle name="20% - Accent6 2 4 3 2 3 2" xfId="5571"/>
    <cellStyle name="20% - Accent6 2 4 3 2 3 3" xfId="22375"/>
    <cellStyle name="20% - Accent6 2 4 3 2 4" xfId="5572"/>
    <cellStyle name="20% - Accent6 2 4 3 2 5" xfId="19788"/>
    <cellStyle name="20% - Accent6 2 4 3 3" xfId="5573"/>
    <cellStyle name="20% - Accent6 2 4 3 3 2" xfId="5574"/>
    <cellStyle name="20% - Accent6 2 4 3 3 2 2" xfId="5575"/>
    <cellStyle name="20% - Accent6 2 4 3 3 2 3" xfId="23020"/>
    <cellStyle name="20% - Accent6 2 4 3 3 3" xfId="5576"/>
    <cellStyle name="20% - Accent6 2 4 3 3 4" xfId="20437"/>
    <cellStyle name="20% - Accent6 2 4 3 4" xfId="5577"/>
    <cellStyle name="20% - Accent6 2 4 3 4 2" xfId="5578"/>
    <cellStyle name="20% - Accent6 2 4 3 4 3" xfId="21730"/>
    <cellStyle name="20% - Accent6 2 4 3 5" xfId="5579"/>
    <cellStyle name="20% - Accent6 2 4 3 6" xfId="19140"/>
    <cellStyle name="20% - Accent6 2 4 4" xfId="5580"/>
    <cellStyle name="20% - Accent6 2 4 4 2" xfId="5581"/>
    <cellStyle name="20% - Accent6 2 4 4 2 2" xfId="5582"/>
    <cellStyle name="20% - Accent6 2 4 4 2 2 2" xfId="5583"/>
    <cellStyle name="20% - Accent6 2 4 4 2 2 3" xfId="23343"/>
    <cellStyle name="20% - Accent6 2 4 4 2 3" xfId="5584"/>
    <cellStyle name="20% - Accent6 2 4 4 2 4" xfId="20760"/>
    <cellStyle name="20% - Accent6 2 4 4 3" xfId="5585"/>
    <cellStyle name="20% - Accent6 2 4 4 3 2" xfId="5586"/>
    <cellStyle name="20% - Accent6 2 4 4 3 3" xfId="22053"/>
    <cellStyle name="20% - Accent6 2 4 4 4" xfId="5587"/>
    <cellStyle name="20% - Accent6 2 4 4 5" xfId="19466"/>
    <cellStyle name="20% - Accent6 2 4 5" xfId="5588"/>
    <cellStyle name="20% - Accent6 2 4 5 2" xfId="5589"/>
    <cellStyle name="20% - Accent6 2 4 5 2 2" xfId="5590"/>
    <cellStyle name="20% - Accent6 2 4 5 2 3" xfId="22698"/>
    <cellStyle name="20% - Accent6 2 4 5 3" xfId="5591"/>
    <cellStyle name="20% - Accent6 2 4 5 4" xfId="20115"/>
    <cellStyle name="20% - Accent6 2 4 6" xfId="5592"/>
    <cellStyle name="20% - Accent6 2 4 6 2" xfId="5593"/>
    <cellStyle name="20% - Accent6 2 4 6 3" xfId="21408"/>
    <cellStyle name="20% - Accent6 2 4 7" xfId="5594"/>
    <cellStyle name="20% - Accent6 2 4 8" xfId="18807"/>
    <cellStyle name="20% - Accent6 2 5" xfId="5595"/>
    <cellStyle name="20% - Accent6 2 5 2" xfId="5596"/>
    <cellStyle name="20% - Accent6 2 5 2 2" xfId="5597"/>
    <cellStyle name="20% - Accent6 2 5 2 2 2" xfId="5598"/>
    <cellStyle name="20% - Accent6 2 5 2 2 2 2" xfId="5599"/>
    <cellStyle name="20% - Accent6 2 5 2 2 2 2 2" xfId="5600"/>
    <cellStyle name="20% - Accent6 2 5 2 2 2 2 3" xfId="23746"/>
    <cellStyle name="20% - Accent6 2 5 2 2 2 3" xfId="5601"/>
    <cellStyle name="20% - Accent6 2 5 2 2 2 4" xfId="21163"/>
    <cellStyle name="20% - Accent6 2 5 2 2 3" xfId="5602"/>
    <cellStyle name="20% - Accent6 2 5 2 2 3 2" xfId="5603"/>
    <cellStyle name="20% - Accent6 2 5 2 2 3 3" xfId="22456"/>
    <cellStyle name="20% - Accent6 2 5 2 2 4" xfId="5604"/>
    <cellStyle name="20% - Accent6 2 5 2 2 5" xfId="19869"/>
    <cellStyle name="20% - Accent6 2 5 2 3" xfId="5605"/>
    <cellStyle name="20% - Accent6 2 5 2 3 2" xfId="5606"/>
    <cellStyle name="20% - Accent6 2 5 2 3 2 2" xfId="5607"/>
    <cellStyle name="20% - Accent6 2 5 2 3 2 3" xfId="23101"/>
    <cellStyle name="20% - Accent6 2 5 2 3 3" xfId="5608"/>
    <cellStyle name="20% - Accent6 2 5 2 3 4" xfId="20518"/>
    <cellStyle name="20% - Accent6 2 5 2 4" xfId="5609"/>
    <cellStyle name="20% - Accent6 2 5 2 4 2" xfId="5610"/>
    <cellStyle name="20% - Accent6 2 5 2 4 3" xfId="21811"/>
    <cellStyle name="20% - Accent6 2 5 2 5" xfId="5611"/>
    <cellStyle name="20% - Accent6 2 5 2 6" xfId="19221"/>
    <cellStyle name="20% - Accent6 2 5 3" xfId="5612"/>
    <cellStyle name="20% - Accent6 2 5 3 2" xfId="5613"/>
    <cellStyle name="20% - Accent6 2 5 3 2 2" xfId="5614"/>
    <cellStyle name="20% - Accent6 2 5 3 2 2 2" xfId="5615"/>
    <cellStyle name="20% - Accent6 2 5 3 2 2 3" xfId="23424"/>
    <cellStyle name="20% - Accent6 2 5 3 2 3" xfId="5616"/>
    <cellStyle name="20% - Accent6 2 5 3 2 4" xfId="20841"/>
    <cellStyle name="20% - Accent6 2 5 3 3" xfId="5617"/>
    <cellStyle name="20% - Accent6 2 5 3 3 2" xfId="5618"/>
    <cellStyle name="20% - Accent6 2 5 3 3 3" xfId="22134"/>
    <cellStyle name="20% - Accent6 2 5 3 4" xfId="5619"/>
    <cellStyle name="20% - Accent6 2 5 3 5" xfId="19547"/>
    <cellStyle name="20% - Accent6 2 5 4" xfId="5620"/>
    <cellStyle name="20% - Accent6 2 5 4 2" xfId="5621"/>
    <cellStyle name="20% - Accent6 2 5 4 2 2" xfId="5622"/>
    <cellStyle name="20% - Accent6 2 5 4 2 3" xfId="22779"/>
    <cellStyle name="20% - Accent6 2 5 4 3" xfId="5623"/>
    <cellStyle name="20% - Accent6 2 5 4 4" xfId="20196"/>
    <cellStyle name="20% - Accent6 2 5 5" xfId="5624"/>
    <cellStyle name="20% - Accent6 2 5 5 2" xfId="5625"/>
    <cellStyle name="20% - Accent6 2 5 5 3" xfId="21489"/>
    <cellStyle name="20% - Accent6 2 5 6" xfId="5626"/>
    <cellStyle name="20% - Accent6 2 5 7" xfId="18895"/>
    <cellStyle name="20% - Accent6 2 6" xfId="5627"/>
    <cellStyle name="20% - Accent6 2 6 2" xfId="5628"/>
    <cellStyle name="20% - Accent6 2 6 2 2" xfId="5629"/>
    <cellStyle name="20% - Accent6 2 6 2 2 2" xfId="5630"/>
    <cellStyle name="20% - Accent6 2 6 2 2 2 2" xfId="5631"/>
    <cellStyle name="20% - Accent6 2 6 2 2 2 3" xfId="23585"/>
    <cellStyle name="20% - Accent6 2 6 2 2 3" xfId="5632"/>
    <cellStyle name="20% - Accent6 2 6 2 2 4" xfId="21002"/>
    <cellStyle name="20% - Accent6 2 6 2 3" xfId="5633"/>
    <cellStyle name="20% - Accent6 2 6 2 3 2" xfId="5634"/>
    <cellStyle name="20% - Accent6 2 6 2 3 3" xfId="22295"/>
    <cellStyle name="20% - Accent6 2 6 2 4" xfId="5635"/>
    <cellStyle name="20% - Accent6 2 6 2 5" xfId="19708"/>
    <cellStyle name="20% - Accent6 2 6 3" xfId="5636"/>
    <cellStyle name="20% - Accent6 2 6 3 2" xfId="5637"/>
    <cellStyle name="20% - Accent6 2 6 3 2 2" xfId="5638"/>
    <cellStyle name="20% - Accent6 2 6 3 2 3" xfId="22940"/>
    <cellStyle name="20% - Accent6 2 6 3 3" xfId="5639"/>
    <cellStyle name="20% - Accent6 2 6 3 4" xfId="20357"/>
    <cellStyle name="20% - Accent6 2 6 4" xfId="5640"/>
    <cellStyle name="20% - Accent6 2 6 4 2" xfId="5641"/>
    <cellStyle name="20% - Accent6 2 6 4 3" xfId="21650"/>
    <cellStyle name="20% - Accent6 2 6 5" xfId="5642"/>
    <cellStyle name="20% - Accent6 2 6 6" xfId="19060"/>
    <cellStyle name="20% - Accent6 2 7" xfId="5643"/>
    <cellStyle name="20% - Accent6 2 7 2" xfId="5644"/>
    <cellStyle name="20% - Accent6 2 7 2 2" xfId="5645"/>
    <cellStyle name="20% - Accent6 2 7 2 2 2" xfId="5646"/>
    <cellStyle name="20% - Accent6 2 7 2 2 3" xfId="23262"/>
    <cellStyle name="20% - Accent6 2 7 2 3" xfId="5647"/>
    <cellStyle name="20% - Accent6 2 7 2 4" xfId="20679"/>
    <cellStyle name="20% - Accent6 2 7 3" xfId="5648"/>
    <cellStyle name="20% - Accent6 2 7 3 2" xfId="5649"/>
    <cellStyle name="20% - Accent6 2 7 3 3" xfId="21972"/>
    <cellStyle name="20% - Accent6 2 7 4" xfId="5650"/>
    <cellStyle name="20% - Accent6 2 7 5" xfId="19386"/>
    <cellStyle name="20% - Accent6 2 8" xfId="5651"/>
    <cellStyle name="20% - Accent6 2 8 2" xfId="5652"/>
    <cellStyle name="20% - Accent6 2 8 2 2" xfId="5653"/>
    <cellStyle name="20% - Accent6 2 8 2 3" xfId="22617"/>
    <cellStyle name="20% - Accent6 2 8 3" xfId="5654"/>
    <cellStyle name="20% - Accent6 2 8 4" xfId="20034"/>
    <cellStyle name="20% - Accent6 2 9" xfId="5655"/>
    <cellStyle name="20% - Accent6 2 9 2" xfId="5656"/>
    <cellStyle name="20% - Accent6 2 9 3" xfId="21327"/>
    <cellStyle name="20% - Accent6 3" xfId="5657"/>
    <cellStyle name="20% - Accent6 3 10" xfId="18715"/>
    <cellStyle name="20% - Accent6 3 2" xfId="5658"/>
    <cellStyle name="20% - Accent6 3 2 2" xfId="5659"/>
    <cellStyle name="20% - Accent6 3 2 2 2" xfId="5660"/>
    <cellStyle name="20% - Accent6 3 2 2 2 2" xfId="5661"/>
    <cellStyle name="20% - Accent6 3 2 2 2 2 2" xfId="5662"/>
    <cellStyle name="20% - Accent6 3 2 2 2 2 2 2" xfId="5663"/>
    <cellStyle name="20% - Accent6 3 2 2 2 2 2 2 2" xfId="5664"/>
    <cellStyle name="20% - Accent6 3 2 2 2 2 2 2 2 2" xfId="5665"/>
    <cellStyle name="20% - Accent6 3 2 2 2 2 2 2 2 3" xfId="23876"/>
    <cellStyle name="20% - Accent6 3 2 2 2 2 2 2 3" xfId="5666"/>
    <cellStyle name="20% - Accent6 3 2 2 2 2 2 2 4" xfId="21293"/>
    <cellStyle name="20% - Accent6 3 2 2 2 2 2 3" xfId="5667"/>
    <cellStyle name="20% - Accent6 3 2 2 2 2 2 3 2" xfId="5668"/>
    <cellStyle name="20% - Accent6 3 2 2 2 2 2 3 3" xfId="22586"/>
    <cellStyle name="20% - Accent6 3 2 2 2 2 2 4" xfId="5669"/>
    <cellStyle name="20% - Accent6 3 2 2 2 2 2 5" xfId="19999"/>
    <cellStyle name="20% - Accent6 3 2 2 2 2 3" xfId="5670"/>
    <cellStyle name="20% - Accent6 3 2 2 2 2 3 2" xfId="5671"/>
    <cellStyle name="20% - Accent6 3 2 2 2 2 3 2 2" xfId="5672"/>
    <cellStyle name="20% - Accent6 3 2 2 2 2 3 2 3" xfId="23231"/>
    <cellStyle name="20% - Accent6 3 2 2 2 2 3 3" xfId="5673"/>
    <cellStyle name="20% - Accent6 3 2 2 2 2 3 4" xfId="20648"/>
    <cellStyle name="20% - Accent6 3 2 2 2 2 4" xfId="5674"/>
    <cellStyle name="20% - Accent6 3 2 2 2 2 4 2" xfId="5675"/>
    <cellStyle name="20% - Accent6 3 2 2 2 2 4 3" xfId="21941"/>
    <cellStyle name="20% - Accent6 3 2 2 2 2 5" xfId="5676"/>
    <cellStyle name="20% - Accent6 3 2 2 2 2 6" xfId="19351"/>
    <cellStyle name="20% - Accent6 3 2 2 2 3" xfId="5677"/>
    <cellStyle name="20% - Accent6 3 2 2 2 3 2" xfId="5678"/>
    <cellStyle name="20% - Accent6 3 2 2 2 3 2 2" xfId="5679"/>
    <cellStyle name="20% - Accent6 3 2 2 2 3 2 2 2" xfId="5680"/>
    <cellStyle name="20% - Accent6 3 2 2 2 3 2 2 3" xfId="23554"/>
    <cellStyle name="20% - Accent6 3 2 2 2 3 2 3" xfId="5681"/>
    <cellStyle name="20% - Accent6 3 2 2 2 3 2 4" xfId="20971"/>
    <cellStyle name="20% - Accent6 3 2 2 2 3 3" xfId="5682"/>
    <cellStyle name="20% - Accent6 3 2 2 2 3 3 2" xfId="5683"/>
    <cellStyle name="20% - Accent6 3 2 2 2 3 3 3" xfId="22264"/>
    <cellStyle name="20% - Accent6 3 2 2 2 3 4" xfId="5684"/>
    <cellStyle name="20% - Accent6 3 2 2 2 3 5" xfId="19677"/>
    <cellStyle name="20% - Accent6 3 2 2 2 4" xfId="5685"/>
    <cellStyle name="20% - Accent6 3 2 2 2 4 2" xfId="5686"/>
    <cellStyle name="20% - Accent6 3 2 2 2 4 2 2" xfId="5687"/>
    <cellStyle name="20% - Accent6 3 2 2 2 4 2 3" xfId="22909"/>
    <cellStyle name="20% - Accent6 3 2 2 2 4 3" xfId="5688"/>
    <cellStyle name="20% - Accent6 3 2 2 2 4 4" xfId="20326"/>
    <cellStyle name="20% - Accent6 3 2 2 2 5" xfId="5689"/>
    <cellStyle name="20% - Accent6 3 2 2 2 5 2" xfId="5690"/>
    <cellStyle name="20% - Accent6 3 2 2 2 5 3" xfId="21619"/>
    <cellStyle name="20% - Accent6 3 2 2 2 6" xfId="5691"/>
    <cellStyle name="20% - Accent6 3 2 2 2 7" xfId="19025"/>
    <cellStyle name="20% - Accent6 3 2 2 3" xfId="5692"/>
    <cellStyle name="20% - Accent6 3 2 2 3 2" xfId="5693"/>
    <cellStyle name="20% - Accent6 3 2 2 3 2 2" xfId="5694"/>
    <cellStyle name="20% - Accent6 3 2 2 3 2 2 2" xfId="5695"/>
    <cellStyle name="20% - Accent6 3 2 2 3 2 2 2 2" xfId="5696"/>
    <cellStyle name="20% - Accent6 3 2 2 3 2 2 2 3" xfId="23715"/>
    <cellStyle name="20% - Accent6 3 2 2 3 2 2 3" xfId="5697"/>
    <cellStyle name="20% - Accent6 3 2 2 3 2 2 4" xfId="21132"/>
    <cellStyle name="20% - Accent6 3 2 2 3 2 3" xfId="5698"/>
    <cellStyle name="20% - Accent6 3 2 2 3 2 3 2" xfId="5699"/>
    <cellStyle name="20% - Accent6 3 2 2 3 2 3 3" xfId="22425"/>
    <cellStyle name="20% - Accent6 3 2 2 3 2 4" xfId="5700"/>
    <cellStyle name="20% - Accent6 3 2 2 3 2 5" xfId="19838"/>
    <cellStyle name="20% - Accent6 3 2 2 3 3" xfId="5701"/>
    <cellStyle name="20% - Accent6 3 2 2 3 3 2" xfId="5702"/>
    <cellStyle name="20% - Accent6 3 2 2 3 3 2 2" xfId="5703"/>
    <cellStyle name="20% - Accent6 3 2 2 3 3 2 3" xfId="23070"/>
    <cellStyle name="20% - Accent6 3 2 2 3 3 3" xfId="5704"/>
    <cellStyle name="20% - Accent6 3 2 2 3 3 4" xfId="20487"/>
    <cellStyle name="20% - Accent6 3 2 2 3 4" xfId="5705"/>
    <cellStyle name="20% - Accent6 3 2 2 3 4 2" xfId="5706"/>
    <cellStyle name="20% - Accent6 3 2 2 3 4 3" xfId="21780"/>
    <cellStyle name="20% - Accent6 3 2 2 3 5" xfId="5707"/>
    <cellStyle name="20% - Accent6 3 2 2 3 6" xfId="19190"/>
    <cellStyle name="20% - Accent6 3 2 2 4" xfId="5708"/>
    <cellStyle name="20% - Accent6 3 2 2 4 2" xfId="5709"/>
    <cellStyle name="20% - Accent6 3 2 2 4 2 2" xfId="5710"/>
    <cellStyle name="20% - Accent6 3 2 2 4 2 2 2" xfId="5711"/>
    <cellStyle name="20% - Accent6 3 2 2 4 2 2 3" xfId="23393"/>
    <cellStyle name="20% - Accent6 3 2 2 4 2 3" xfId="5712"/>
    <cellStyle name="20% - Accent6 3 2 2 4 2 4" xfId="20810"/>
    <cellStyle name="20% - Accent6 3 2 2 4 3" xfId="5713"/>
    <cellStyle name="20% - Accent6 3 2 2 4 3 2" xfId="5714"/>
    <cellStyle name="20% - Accent6 3 2 2 4 3 3" xfId="22103"/>
    <cellStyle name="20% - Accent6 3 2 2 4 4" xfId="5715"/>
    <cellStyle name="20% - Accent6 3 2 2 4 5" xfId="19516"/>
    <cellStyle name="20% - Accent6 3 2 2 5" xfId="5716"/>
    <cellStyle name="20% - Accent6 3 2 2 5 2" xfId="5717"/>
    <cellStyle name="20% - Accent6 3 2 2 5 2 2" xfId="5718"/>
    <cellStyle name="20% - Accent6 3 2 2 5 2 3" xfId="22748"/>
    <cellStyle name="20% - Accent6 3 2 2 5 3" xfId="5719"/>
    <cellStyle name="20% - Accent6 3 2 2 5 4" xfId="20165"/>
    <cellStyle name="20% - Accent6 3 2 2 6" xfId="5720"/>
    <cellStyle name="20% - Accent6 3 2 2 6 2" xfId="5721"/>
    <cellStyle name="20% - Accent6 3 2 2 6 3" xfId="21458"/>
    <cellStyle name="20% - Accent6 3 2 2 7" xfId="5722"/>
    <cellStyle name="20% - Accent6 3 2 2 8" xfId="18860"/>
    <cellStyle name="20% - Accent6 3 2 3" xfId="5723"/>
    <cellStyle name="20% - Accent6 3 2 3 2" xfId="5724"/>
    <cellStyle name="20% - Accent6 3 2 3 2 2" xfId="5725"/>
    <cellStyle name="20% - Accent6 3 2 3 2 2 2" xfId="5726"/>
    <cellStyle name="20% - Accent6 3 2 3 2 2 2 2" xfId="5727"/>
    <cellStyle name="20% - Accent6 3 2 3 2 2 2 2 2" xfId="5728"/>
    <cellStyle name="20% - Accent6 3 2 3 2 2 2 2 3" xfId="23796"/>
    <cellStyle name="20% - Accent6 3 2 3 2 2 2 3" xfId="5729"/>
    <cellStyle name="20% - Accent6 3 2 3 2 2 2 4" xfId="21213"/>
    <cellStyle name="20% - Accent6 3 2 3 2 2 3" xfId="5730"/>
    <cellStyle name="20% - Accent6 3 2 3 2 2 3 2" xfId="5731"/>
    <cellStyle name="20% - Accent6 3 2 3 2 2 3 3" xfId="22506"/>
    <cellStyle name="20% - Accent6 3 2 3 2 2 4" xfId="5732"/>
    <cellStyle name="20% - Accent6 3 2 3 2 2 5" xfId="19919"/>
    <cellStyle name="20% - Accent6 3 2 3 2 3" xfId="5733"/>
    <cellStyle name="20% - Accent6 3 2 3 2 3 2" xfId="5734"/>
    <cellStyle name="20% - Accent6 3 2 3 2 3 2 2" xfId="5735"/>
    <cellStyle name="20% - Accent6 3 2 3 2 3 2 3" xfId="23151"/>
    <cellStyle name="20% - Accent6 3 2 3 2 3 3" xfId="5736"/>
    <cellStyle name="20% - Accent6 3 2 3 2 3 4" xfId="20568"/>
    <cellStyle name="20% - Accent6 3 2 3 2 4" xfId="5737"/>
    <cellStyle name="20% - Accent6 3 2 3 2 4 2" xfId="5738"/>
    <cellStyle name="20% - Accent6 3 2 3 2 4 3" xfId="21861"/>
    <cellStyle name="20% - Accent6 3 2 3 2 5" xfId="5739"/>
    <cellStyle name="20% - Accent6 3 2 3 2 6" xfId="19271"/>
    <cellStyle name="20% - Accent6 3 2 3 3" xfId="5740"/>
    <cellStyle name="20% - Accent6 3 2 3 3 2" xfId="5741"/>
    <cellStyle name="20% - Accent6 3 2 3 3 2 2" xfId="5742"/>
    <cellStyle name="20% - Accent6 3 2 3 3 2 2 2" xfId="5743"/>
    <cellStyle name="20% - Accent6 3 2 3 3 2 2 3" xfId="23474"/>
    <cellStyle name="20% - Accent6 3 2 3 3 2 3" xfId="5744"/>
    <cellStyle name="20% - Accent6 3 2 3 3 2 4" xfId="20891"/>
    <cellStyle name="20% - Accent6 3 2 3 3 3" xfId="5745"/>
    <cellStyle name="20% - Accent6 3 2 3 3 3 2" xfId="5746"/>
    <cellStyle name="20% - Accent6 3 2 3 3 3 3" xfId="22184"/>
    <cellStyle name="20% - Accent6 3 2 3 3 4" xfId="5747"/>
    <cellStyle name="20% - Accent6 3 2 3 3 5" xfId="19597"/>
    <cellStyle name="20% - Accent6 3 2 3 4" xfId="5748"/>
    <cellStyle name="20% - Accent6 3 2 3 4 2" xfId="5749"/>
    <cellStyle name="20% - Accent6 3 2 3 4 2 2" xfId="5750"/>
    <cellStyle name="20% - Accent6 3 2 3 4 2 3" xfId="22829"/>
    <cellStyle name="20% - Accent6 3 2 3 4 3" xfId="5751"/>
    <cellStyle name="20% - Accent6 3 2 3 4 4" xfId="20246"/>
    <cellStyle name="20% - Accent6 3 2 3 5" xfId="5752"/>
    <cellStyle name="20% - Accent6 3 2 3 5 2" xfId="5753"/>
    <cellStyle name="20% - Accent6 3 2 3 5 3" xfId="21539"/>
    <cellStyle name="20% - Accent6 3 2 3 6" xfId="5754"/>
    <cellStyle name="20% - Accent6 3 2 3 7" xfId="18945"/>
    <cellStyle name="20% - Accent6 3 2 4" xfId="5755"/>
    <cellStyle name="20% - Accent6 3 2 4 2" xfId="5756"/>
    <cellStyle name="20% - Accent6 3 2 4 2 2" xfId="5757"/>
    <cellStyle name="20% - Accent6 3 2 4 2 2 2" xfId="5758"/>
    <cellStyle name="20% - Accent6 3 2 4 2 2 2 2" xfId="5759"/>
    <cellStyle name="20% - Accent6 3 2 4 2 2 2 3" xfId="23635"/>
    <cellStyle name="20% - Accent6 3 2 4 2 2 3" xfId="5760"/>
    <cellStyle name="20% - Accent6 3 2 4 2 2 4" xfId="21052"/>
    <cellStyle name="20% - Accent6 3 2 4 2 3" xfId="5761"/>
    <cellStyle name="20% - Accent6 3 2 4 2 3 2" xfId="5762"/>
    <cellStyle name="20% - Accent6 3 2 4 2 3 3" xfId="22345"/>
    <cellStyle name="20% - Accent6 3 2 4 2 4" xfId="5763"/>
    <cellStyle name="20% - Accent6 3 2 4 2 5" xfId="19758"/>
    <cellStyle name="20% - Accent6 3 2 4 3" xfId="5764"/>
    <cellStyle name="20% - Accent6 3 2 4 3 2" xfId="5765"/>
    <cellStyle name="20% - Accent6 3 2 4 3 2 2" xfId="5766"/>
    <cellStyle name="20% - Accent6 3 2 4 3 2 3" xfId="22990"/>
    <cellStyle name="20% - Accent6 3 2 4 3 3" xfId="5767"/>
    <cellStyle name="20% - Accent6 3 2 4 3 4" xfId="20407"/>
    <cellStyle name="20% - Accent6 3 2 4 4" xfId="5768"/>
    <cellStyle name="20% - Accent6 3 2 4 4 2" xfId="5769"/>
    <cellStyle name="20% - Accent6 3 2 4 4 3" xfId="21700"/>
    <cellStyle name="20% - Accent6 3 2 4 5" xfId="5770"/>
    <cellStyle name="20% - Accent6 3 2 4 6" xfId="19110"/>
    <cellStyle name="20% - Accent6 3 2 5" xfId="5771"/>
    <cellStyle name="20% - Accent6 3 2 5 2" xfId="5772"/>
    <cellStyle name="20% - Accent6 3 2 5 2 2" xfId="5773"/>
    <cellStyle name="20% - Accent6 3 2 5 2 2 2" xfId="5774"/>
    <cellStyle name="20% - Accent6 3 2 5 2 2 3" xfId="23312"/>
    <cellStyle name="20% - Accent6 3 2 5 2 3" xfId="5775"/>
    <cellStyle name="20% - Accent6 3 2 5 2 4" xfId="20729"/>
    <cellStyle name="20% - Accent6 3 2 5 3" xfId="5776"/>
    <cellStyle name="20% - Accent6 3 2 5 3 2" xfId="5777"/>
    <cellStyle name="20% - Accent6 3 2 5 3 3" xfId="22022"/>
    <cellStyle name="20% - Accent6 3 2 5 4" xfId="5778"/>
    <cellStyle name="20% - Accent6 3 2 5 5" xfId="19436"/>
    <cellStyle name="20% - Accent6 3 2 6" xfId="5779"/>
    <cellStyle name="20% - Accent6 3 2 6 2" xfId="5780"/>
    <cellStyle name="20% - Accent6 3 2 6 2 2" xfId="5781"/>
    <cellStyle name="20% - Accent6 3 2 6 2 3" xfId="22667"/>
    <cellStyle name="20% - Accent6 3 2 6 3" xfId="5782"/>
    <cellStyle name="20% - Accent6 3 2 6 4" xfId="20084"/>
    <cellStyle name="20% - Accent6 3 2 7" xfId="5783"/>
    <cellStyle name="20% - Accent6 3 2 7 2" xfId="5784"/>
    <cellStyle name="20% - Accent6 3 2 7 3" xfId="21377"/>
    <cellStyle name="20% - Accent6 3 2 8" xfId="5785"/>
    <cellStyle name="20% - Accent6 3 2 9" xfId="18763"/>
    <cellStyle name="20% - Accent6 3 3" xfId="5786"/>
    <cellStyle name="20% - Accent6 3 3 2" xfId="5787"/>
    <cellStyle name="20% - Accent6 3 3 2 2" xfId="5788"/>
    <cellStyle name="20% - Accent6 3 3 2 2 2" xfId="5789"/>
    <cellStyle name="20% - Accent6 3 3 2 2 2 2" xfId="5790"/>
    <cellStyle name="20% - Accent6 3 3 2 2 2 2 2" xfId="5791"/>
    <cellStyle name="20% - Accent6 3 3 2 2 2 2 2 2" xfId="5792"/>
    <cellStyle name="20% - Accent6 3 3 2 2 2 2 2 3" xfId="23836"/>
    <cellStyle name="20% - Accent6 3 3 2 2 2 2 3" xfId="5793"/>
    <cellStyle name="20% - Accent6 3 3 2 2 2 2 4" xfId="21253"/>
    <cellStyle name="20% - Accent6 3 3 2 2 2 3" xfId="5794"/>
    <cellStyle name="20% - Accent6 3 3 2 2 2 3 2" xfId="5795"/>
    <cellStyle name="20% - Accent6 3 3 2 2 2 3 3" xfId="22546"/>
    <cellStyle name="20% - Accent6 3 3 2 2 2 4" xfId="5796"/>
    <cellStyle name="20% - Accent6 3 3 2 2 2 5" xfId="19959"/>
    <cellStyle name="20% - Accent6 3 3 2 2 3" xfId="5797"/>
    <cellStyle name="20% - Accent6 3 3 2 2 3 2" xfId="5798"/>
    <cellStyle name="20% - Accent6 3 3 2 2 3 2 2" xfId="5799"/>
    <cellStyle name="20% - Accent6 3 3 2 2 3 2 3" xfId="23191"/>
    <cellStyle name="20% - Accent6 3 3 2 2 3 3" xfId="5800"/>
    <cellStyle name="20% - Accent6 3 3 2 2 3 4" xfId="20608"/>
    <cellStyle name="20% - Accent6 3 3 2 2 4" xfId="5801"/>
    <cellStyle name="20% - Accent6 3 3 2 2 4 2" xfId="5802"/>
    <cellStyle name="20% - Accent6 3 3 2 2 4 3" xfId="21901"/>
    <cellStyle name="20% - Accent6 3 3 2 2 5" xfId="5803"/>
    <cellStyle name="20% - Accent6 3 3 2 2 6" xfId="19311"/>
    <cellStyle name="20% - Accent6 3 3 2 3" xfId="5804"/>
    <cellStyle name="20% - Accent6 3 3 2 3 2" xfId="5805"/>
    <cellStyle name="20% - Accent6 3 3 2 3 2 2" xfId="5806"/>
    <cellStyle name="20% - Accent6 3 3 2 3 2 2 2" xfId="5807"/>
    <cellStyle name="20% - Accent6 3 3 2 3 2 2 3" xfId="23514"/>
    <cellStyle name="20% - Accent6 3 3 2 3 2 3" xfId="5808"/>
    <cellStyle name="20% - Accent6 3 3 2 3 2 4" xfId="20931"/>
    <cellStyle name="20% - Accent6 3 3 2 3 3" xfId="5809"/>
    <cellStyle name="20% - Accent6 3 3 2 3 3 2" xfId="5810"/>
    <cellStyle name="20% - Accent6 3 3 2 3 3 3" xfId="22224"/>
    <cellStyle name="20% - Accent6 3 3 2 3 4" xfId="5811"/>
    <cellStyle name="20% - Accent6 3 3 2 3 5" xfId="19637"/>
    <cellStyle name="20% - Accent6 3 3 2 4" xfId="5812"/>
    <cellStyle name="20% - Accent6 3 3 2 4 2" xfId="5813"/>
    <cellStyle name="20% - Accent6 3 3 2 4 2 2" xfId="5814"/>
    <cellStyle name="20% - Accent6 3 3 2 4 2 3" xfId="22869"/>
    <cellStyle name="20% - Accent6 3 3 2 4 3" xfId="5815"/>
    <cellStyle name="20% - Accent6 3 3 2 4 4" xfId="20286"/>
    <cellStyle name="20% - Accent6 3 3 2 5" xfId="5816"/>
    <cellStyle name="20% - Accent6 3 3 2 5 2" xfId="5817"/>
    <cellStyle name="20% - Accent6 3 3 2 5 3" xfId="21579"/>
    <cellStyle name="20% - Accent6 3 3 2 6" xfId="5818"/>
    <cellStyle name="20% - Accent6 3 3 2 7" xfId="18985"/>
    <cellStyle name="20% - Accent6 3 3 3" xfId="5819"/>
    <cellStyle name="20% - Accent6 3 3 3 2" xfId="5820"/>
    <cellStyle name="20% - Accent6 3 3 3 2 2" xfId="5821"/>
    <cellStyle name="20% - Accent6 3 3 3 2 2 2" xfId="5822"/>
    <cellStyle name="20% - Accent6 3 3 3 2 2 2 2" xfId="5823"/>
    <cellStyle name="20% - Accent6 3 3 3 2 2 2 3" xfId="23675"/>
    <cellStyle name="20% - Accent6 3 3 3 2 2 3" xfId="5824"/>
    <cellStyle name="20% - Accent6 3 3 3 2 2 4" xfId="21092"/>
    <cellStyle name="20% - Accent6 3 3 3 2 3" xfId="5825"/>
    <cellStyle name="20% - Accent6 3 3 3 2 3 2" xfId="5826"/>
    <cellStyle name="20% - Accent6 3 3 3 2 3 3" xfId="22385"/>
    <cellStyle name="20% - Accent6 3 3 3 2 4" xfId="5827"/>
    <cellStyle name="20% - Accent6 3 3 3 2 5" xfId="19798"/>
    <cellStyle name="20% - Accent6 3 3 3 3" xfId="5828"/>
    <cellStyle name="20% - Accent6 3 3 3 3 2" xfId="5829"/>
    <cellStyle name="20% - Accent6 3 3 3 3 2 2" xfId="5830"/>
    <cellStyle name="20% - Accent6 3 3 3 3 2 3" xfId="23030"/>
    <cellStyle name="20% - Accent6 3 3 3 3 3" xfId="5831"/>
    <cellStyle name="20% - Accent6 3 3 3 3 4" xfId="20447"/>
    <cellStyle name="20% - Accent6 3 3 3 4" xfId="5832"/>
    <cellStyle name="20% - Accent6 3 3 3 4 2" xfId="5833"/>
    <cellStyle name="20% - Accent6 3 3 3 4 3" xfId="21740"/>
    <cellStyle name="20% - Accent6 3 3 3 5" xfId="5834"/>
    <cellStyle name="20% - Accent6 3 3 3 6" xfId="19150"/>
    <cellStyle name="20% - Accent6 3 3 4" xfId="5835"/>
    <cellStyle name="20% - Accent6 3 3 4 2" xfId="5836"/>
    <cellStyle name="20% - Accent6 3 3 4 2 2" xfId="5837"/>
    <cellStyle name="20% - Accent6 3 3 4 2 2 2" xfId="5838"/>
    <cellStyle name="20% - Accent6 3 3 4 2 2 3" xfId="23353"/>
    <cellStyle name="20% - Accent6 3 3 4 2 3" xfId="5839"/>
    <cellStyle name="20% - Accent6 3 3 4 2 4" xfId="20770"/>
    <cellStyle name="20% - Accent6 3 3 4 3" xfId="5840"/>
    <cellStyle name="20% - Accent6 3 3 4 3 2" xfId="5841"/>
    <cellStyle name="20% - Accent6 3 3 4 3 3" xfId="22063"/>
    <cellStyle name="20% - Accent6 3 3 4 4" xfId="5842"/>
    <cellStyle name="20% - Accent6 3 3 4 5" xfId="19476"/>
    <cellStyle name="20% - Accent6 3 3 5" xfId="5843"/>
    <cellStyle name="20% - Accent6 3 3 5 2" xfId="5844"/>
    <cellStyle name="20% - Accent6 3 3 5 2 2" xfId="5845"/>
    <cellStyle name="20% - Accent6 3 3 5 2 3" xfId="22708"/>
    <cellStyle name="20% - Accent6 3 3 5 3" xfId="5846"/>
    <cellStyle name="20% - Accent6 3 3 5 4" xfId="20125"/>
    <cellStyle name="20% - Accent6 3 3 6" xfId="5847"/>
    <cellStyle name="20% - Accent6 3 3 6 2" xfId="5848"/>
    <cellStyle name="20% - Accent6 3 3 6 3" xfId="21418"/>
    <cellStyle name="20% - Accent6 3 3 7" xfId="5849"/>
    <cellStyle name="20% - Accent6 3 3 8" xfId="18818"/>
    <cellStyle name="20% - Accent6 3 4" xfId="5850"/>
    <cellStyle name="20% - Accent6 3 4 2" xfId="5851"/>
    <cellStyle name="20% - Accent6 3 4 2 2" xfId="5852"/>
    <cellStyle name="20% - Accent6 3 4 2 2 2" xfId="5853"/>
    <cellStyle name="20% - Accent6 3 4 2 2 2 2" xfId="5854"/>
    <cellStyle name="20% - Accent6 3 4 2 2 2 2 2" xfId="5855"/>
    <cellStyle name="20% - Accent6 3 4 2 2 2 2 3" xfId="23756"/>
    <cellStyle name="20% - Accent6 3 4 2 2 2 3" xfId="5856"/>
    <cellStyle name="20% - Accent6 3 4 2 2 2 4" xfId="21173"/>
    <cellStyle name="20% - Accent6 3 4 2 2 3" xfId="5857"/>
    <cellStyle name="20% - Accent6 3 4 2 2 3 2" xfId="5858"/>
    <cellStyle name="20% - Accent6 3 4 2 2 3 3" xfId="22466"/>
    <cellStyle name="20% - Accent6 3 4 2 2 4" xfId="5859"/>
    <cellStyle name="20% - Accent6 3 4 2 2 5" xfId="19879"/>
    <cellStyle name="20% - Accent6 3 4 2 3" xfId="5860"/>
    <cellStyle name="20% - Accent6 3 4 2 3 2" xfId="5861"/>
    <cellStyle name="20% - Accent6 3 4 2 3 2 2" xfId="5862"/>
    <cellStyle name="20% - Accent6 3 4 2 3 2 3" xfId="23111"/>
    <cellStyle name="20% - Accent6 3 4 2 3 3" xfId="5863"/>
    <cellStyle name="20% - Accent6 3 4 2 3 4" xfId="20528"/>
    <cellStyle name="20% - Accent6 3 4 2 4" xfId="5864"/>
    <cellStyle name="20% - Accent6 3 4 2 4 2" xfId="5865"/>
    <cellStyle name="20% - Accent6 3 4 2 4 3" xfId="21821"/>
    <cellStyle name="20% - Accent6 3 4 2 5" xfId="5866"/>
    <cellStyle name="20% - Accent6 3 4 2 6" xfId="19231"/>
    <cellStyle name="20% - Accent6 3 4 3" xfId="5867"/>
    <cellStyle name="20% - Accent6 3 4 3 2" xfId="5868"/>
    <cellStyle name="20% - Accent6 3 4 3 2 2" xfId="5869"/>
    <cellStyle name="20% - Accent6 3 4 3 2 2 2" xfId="5870"/>
    <cellStyle name="20% - Accent6 3 4 3 2 2 3" xfId="23434"/>
    <cellStyle name="20% - Accent6 3 4 3 2 3" xfId="5871"/>
    <cellStyle name="20% - Accent6 3 4 3 2 4" xfId="20851"/>
    <cellStyle name="20% - Accent6 3 4 3 3" xfId="5872"/>
    <cellStyle name="20% - Accent6 3 4 3 3 2" xfId="5873"/>
    <cellStyle name="20% - Accent6 3 4 3 3 3" xfId="22144"/>
    <cellStyle name="20% - Accent6 3 4 3 4" xfId="5874"/>
    <cellStyle name="20% - Accent6 3 4 3 5" xfId="19557"/>
    <cellStyle name="20% - Accent6 3 4 4" xfId="5875"/>
    <cellStyle name="20% - Accent6 3 4 4 2" xfId="5876"/>
    <cellStyle name="20% - Accent6 3 4 4 2 2" xfId="5877"/>
    <cellStyle name="20% - Accent6 3 4 4 2 3" xfId="22789"/>
    <cellStyle name="20% - Accent6 3 4 4 3" xfId="5878"/>
    <cellStyle name="20% - Accent6 3 4 4 4" xfId="20206"/>
    <cellStyle name="20% - Accent6 3 4 5" xfId="5879"/>
    <cellStyle name="20% - Accent6 3 4 5 2" xfId="5880"/>
    <cellStyle name="20% - Accent6 3 4 5 3" xfId="21499"/>
    <cellStyle name="20% - Accent6 3 4 6" xfId="5881"/>
    <cellStyle name="20% - Accent6 3 4 7" xfId="18905"/>
    <cellStyle name="20% - Accent6 3 5" xfId="5882"/>
    <cellStyle name="20% - Accent6 3 5 2" xfId="5883"/>
    <cellStyle name="20% - Accent6 3 5 2 2" xfId="5884"/>
    <cellStyle name="20% - Accent6 3 5 2 2 2" xfId="5885"/>
    <cellStyle name="20% - Accent6 3 5 2 2 2 2" xfId="5886"/>
    <cellStyle name="20% - Accent6 3 5 2 2 2 3" xfId="23595"/>
    <cellStyle name="20% - Accent6 3 5 2 2 3" xfId="5887"/>
    <cellStyle name="20% - Accent6 3 5 2 2 4" xfId="21012"/>
    <cellStyle name="20% - Accent6 3 5 2 3" xfId="5888"/>
    <cellStyle name="20% - Accent6 3 5 2 3 2" xfId="5889"/>
    <cellStyle name="20% - Accent6 3 5 2 3 3" xfId="22305"/>
    <cellStyle name="20% - Accent6 3 5 2 4" xfId="5890"/>
    <cellStyle name="20% - Accent6 3 5 2 5" xfId="19718"/>
    <cellStyle name="20% - Accent6 3 5 3" xfId="5891"/>
    <cellStyle name="20% - Accent6 3 5 3 2" xfId="5892"/>
    <cellStyle name="20% - Accent6 3 5 3 2 2" xfId="5893"/>
    <cellStyle name="20% - Accent6 3 5 3 2 3" xfId="22950"/>
    <cellStyle name="20% - Accent6 3 5 3 3" xfId="5894"/>
    <cellStyle name="20% - Accent6 3 5 3 4" xfId="20367"/>
    <cellStyle name="20% - Accent6 3 5 4" xfId="5895"/>
    <cellStyle name="20% - Accent6 3 5 4 2" xfId="5896"/>
    <cellStyle name="20% - Accent6 3 5 4 3" xfId="21660"/>
    <cellStyle name="20% - Accent6 3 5 5" xfId="5897"/>
    <cellStyle name="20% - Accent6 3 5 6" xfId="19070"/>
    <cellStyle name="20% - Accent6 3 6" xfId="5898"/>
    <cellStyle name="20% - Accent6 3 6 2" xfId="5899"/>
    <cellStyle name="20% - Accent6 3 6 2 2" xfId="5900"/>
    <cellStyle name="20% - Accent6 3 6 2 2 2" xfId="5901"/>
    <cellStyle name="20% - Accent6 3 6 2 2 3" xfId="23272"/>
    <cellStyle name="20% - Accent6 3 6 2 3" xfId="5902"/>
    <cellStyle name="20% - Accent6 3 6 2 4" xfId="20689"/>
    <cellStyle name="20% - Accent6 3 6 3" xfId="5903"/>
    <cellStyle name="20% - Accent6 3 6 3 2" xfId="5904"/>
    <cellStyle name="20% - Accent6 3 6 3 3" xfId="21982"/>
    <cellStyle name="20% - Accent6 3 6 4" xfId="5905"/>
    <cellStyle name="20% - Accent6 3 6 5" xfId="19396"/>
    <cellStyle name="20% - Accent6 3 7" xfId="5906"/>
    <cellStyle name="20% - Accent6 3 7 2" xfId="5907"/>
    <cellStyle name="20% - Accent6 3 7 2 2" xfId="5908"/>
    <cellStyle name="20% - Accent6 3 7 2 3" xfId="22627"/>
    <cellStyle name="20% - Accent6 3 7 3" xfId="5909"/>
    <cellStyle name="20% - Accent6 3 7 4" xfId="20044"/>
    <cellStyle name="20% - Accent6 3 8" xfId="5910"/>
    <cellStyle name="20% - Accent6 3 8 2" xfId="5911"/>
    <cellStyle name="20% - Accent6 3 8 3" xfId="21337"/>
    <cellStyle name="20% - Accent6 3 9" xfId="5912"/>
    <cellStyle name="20% - Accent6 4" xfId="5913"/>
    <cellStyle name="20% - Accent6 4 2" xfId="5914"/>
    <cellStyle name="20% - Accent6 4 2 2" xfId="5915"/>
    <cellStyle name="20% - Accent6 4 2 2 2" xfId="5916"/>
    <cellStyle name="20% - Accent6 4 2 2 2 2" xfId="5917"/>
    <cellStyle name="20% - Accent6 4 2 2 2 2 2" xfId="5918"/>
    <cellStyle name="20% - Accent6 4 2 2 2 2 2 2" xfId="5919"/>
    <cellStyle name="20% - Accent6 4 2 2 2 2 2 2 2" xfId="5920"/>
    <cellStyle name="20% - Accent6 4 2 2 2 2 2 2 3" xfId="23856"/>
    <cellStyle name="20% - Accent6 4 2 2 2 2 2 3" xfId="5921"/>
    <cellStyle name="20% - Accent6 4 2 2 2 2 2 4" xfId="21273"/>
    <cellStyle name="20% - Accent6 4 2 2 2 2 3" xfId="5922"/>
    <cellStyle name="20% - Accent6 4 2 2 2 2 3 2" xfId="5923"/>
    <cellStyle name="20% - Accent6 4 2 2 2 2 3 3" xfId="22566"/>
    <cellStyle name="20% - Accent6 4 2 2 2 2 4" xfId="5924"/>
    <cellStyle name="20% - Accent6 4 2 2 2 2 5" xfId="19979"/>
    <cellStyle name="20% - Accent6 4 2 2 2 3" xfId="5925"/>
    <cellStyle name="20% - Accent6 4 2 2 2 3 2" xfId="5926"/>
    <cellStyle name="20% - Accent6 4 2 2 2 3 2 2" xfId="5927"/>
    <cellStyle name="20% - Accent6 4 2 2 2 3 2 3" xfId="23211"/>
    <cellStyle name="20% - Accent6 4 2 2 2 3 3" xfId="5928"/>
    <cellStyle name="20% - Accent6 4 2 2 2 3 4" xfId="20628"/>
    <cellStyle name="20% - Accent6 4 2 2 2 4" xfId="5929"/>
    <cellStyle name="20% - Accent6 4 2 2 2 4 2" xfId="5930"/>
    <cellStyle name="20% - Accent6 4 2 2 2 4 3" xfId="21921"/>
    <cellStyle name="20% - Accent6 4 2 2 2 5" xfId="5931"/>
    <cellStyle name="20% - Accent6 4 2 2 2 6" xfId="19331"/>
    <cellStyle name="20% - Accent6 4 2 2 3" xfId="5932"/>
    <cellStyle name="20% - Accent6 4 2 2 3 2" xfId="5933"/>
    <cellStyle name="20% - Accent6 4 2 2 3 2 2" xfId="5934"/>
    <cellStyle name="20% - Accent6 4 2 2 3 2 2 2" xfId="5935"/>
    <cellStyle name="20% - Accent6 4 2 2 3 2 2 3" xfId="23534"/>
    <cellStyle name="20% - Accent6 4 2 2 3 2 3" xfId="5936"/>
    <cellStyle name="20% - Accent6 4 2 2 3 2 4" xfId="20951"/>
    <cellStyle name="20% - Accent6 4 2 2 3 3" xfId="5937"/>
    <cellStyle name="20% - Accent6 4 2 2 3 3 2" xfId="5938"/>
    <cellStyle name="20% - Accent6 4 2 2 3 3 3" xfId="22244"/>
    <cellStyle name="20% - Accent6 4 2 2 3 4" xfId="5939"/>
    <cellStyle name="20% - Accent6 4 2 2 3 5" xfId="19657"/>
    <cellStyle name="20% - Accent6 4 2 2 4" xfId="5940"/>
    <cellStyle name="20% - Accent6 4 2 2 4 2" xfId="5941"/>
    <cellStyle name="20% - Accent6 4 2 2 4 2 2" xfId="5942"/>
    <cellStyle name="20% - Accent6 4 2 2 4 2 3" xfId="22889"/>
    <cellStyle name="20% - Accent6 4 2 2 4 3" xfId="5943"/>
    <cellStyle name="20% - Accent6 4 2 2 4 4" xfId="20306"/>
    <cellStyle name="20% - Accent6 4 2 2 5" xfId="5944"/>
    <cellStyle name="20% - Accent6 4 2 2 5 2" xfId="5945"/>
    <cellStyle name="20% - Accent6 4 2 2 5 3" xfId="21599"/>
    <cellStyle name="20% - Accent6 4 2 2 6" xfId="5946"/>
    <cellStyle name="20% - Accent6 4 2 2 7" xfId="19005"/>
    <cellStyle name="20% - Accent6 4 2 3" xfId="5947"/>
    <cellStyle name="20% - Accent6 4 2 3 2" xfId="5948"/>
    <cellStyle name="20% - Accent6 4 2 3 2 2" xfId="5949"/>
    <cellStyle name="20% - Accent6 4 2 3 2 2 2" xfId="5950"/>
    <cellStyle name="20% - Accent6 4 2 3 2 2 2 2" xfId="5951"/>
    <cellStyle name="20% - Accent6 4 2 3 2 2 2 3" xfId="23695"/>
    <cellStyle name="20% - Accent6 4 2 3 2 2 3" xfId="5952"/>
    <cellStyle name="20% - Accent6 4 2 3 2 2 4" xfId="21112"/>
    <cellStyle name="20% - Accent6 4 2 3 2 3" xfId="5953"/>
    <cellStyle name="20% - Accent6 4 2 3 2 3 2" xfId="5954"/>
    <cellStyle name="20% - Accent6 4 2 3 2 3 3" xfId="22405"/>
    <cellStyle name="20% - Accent6 4 2 3 2 4" xfId="5955"/>
    <cellStyle name="20% - Accent6 4 2 3 2 5" xfId="19818"/>
    <cellStyle name="20% - Accent6 4 2 3 3" xfId="5956"/>
    <cellStyle name="20% - Accent6 4 2 3 3 2" xfId="5957"/>
    <cellStyle name="20% - Accent6 4 2 3 3 2 2" xfId="5958"/>
    <cellStyle name="20% - Accent6 4 2 3 3 2 3" xfId="23050"/>
    <cellStyle name="20% - Accent6 4 2 3 3 3" xfId="5959"/>
    <cellStyle name="20% - Accent6 4 2 3 3 4" xfId="20467"/>
    <cellStyle name="20% - Accent6 4 2 3 4" xfId="5960"/>
    <cellStyle name="20% - Accent6 4 2 3 4 2" xfId="5961"/>
    <cellStyle name="20% - Accent6 4 2 3 4 3" xfId="21760"/>
    <cellStyle name="20% - Accent6 4 2 3 5" xfId="5962"/>
    <cellStyle name="20% - Accent6 4 2 3 6" xfId="19170"/>
    <cellStyle name="20% - Accent6 4 2 4" xfId="5963"/>
    <cellStyle name="20% - Accent6 4 2 4 2" xfId="5964"/>
    <cellStyle name="20% - Accent6 4 2 4 2 2" xfId="5965"/>
    <cellStyle name="20% - Accent6 4 2 4 2 2 2" xfId="5966"/>
    <cellStyle name="20% - Accent6 4 2 4 2 2 3" xfId="23373"/>
    <cellStyle name="20% - Accent6 4 2 4 2 3" xfId="5967"/>
    <cellStyle name="20% - Accent6 4 2 4 2 4" xfId="20790"/>
    <cellStyle name="20% - Accent6 4 2 4 3" xfId="5968"/>
    <cellStyle name="20% - Accent6 4 2 4 3 2" xfId="5969"/>
    <cellStyle name="20% - Accent6 4 2 4 3 3" xfId="22083"/>
    <cellStyle name="20% - Accent6 4 2 4 4" xfId="5970"/>
    <cellStyle name="20% - Accent6 4 2 4 5" xfId="19496"/>
    <cellStyle name="20% - Accent6 4 2 5" xfId="5971"/>
    <cellStyle name="20% - Accent6 4 2 5 2" xfId="5972"/>
    <cellStyle name="20% - Accent6 4 2 5 2 2" xfId="5973"/>
    <cellStyle name="20% - Accent6 4 2 5 2 3" xfId="22728"/>
    <cellStyle name="20% - Accent6 4 2 5 3" xfId="5974"/>
    <cellStyle name="20% - Accent6 4 2 5 4" xfId="20145"/>
    <cellStyle name="20% - Accent6 4 2 6" xfId="5975"/>
    <cellStyle name="20% - Accent6 4 2 6 2" xfId="5976"/>
    <cellStyle name="20% - Accent6 4 2 6 3" xfId="21438"/>
    <cellStyle name="20% - Accent6 4 2 7" xfId="5977"/>
    <cellStyle name="20% - Accent6 4 2 8" xfId="18839"/>
    <cellStyle name="20% - Accent6 4 3" xfId="5978"/>
    <cellStyle name="20% - Accent6 4 3 2" xfId="5979"/>
    <cellStyle name="20% - Accent6 4 3 2 2" xfId="5980"/>
    <cellStyle name="20% - Accent6 4 3 2 2 2" xfId="5981"/>
    <cellStyle name="20% - Accent6 4 3 2 2 2 2" xfId="5982"/>
    <cellStyle name="20% - Accent6 4 3 2 2 2 2 2" xfId="5983"/>
    <cellStyle name="20% - Accent6 4 3 2 2 2 2 3" xfId="23776"/>
    <cellStyle name="20% - Accent6 4 3 2 2 2 3" xfId="5984"/>
    <cellStyle name="20% - Accent6 4 3 2 2 2 4" xfId="21193"/>
    <cellStyle name="20% - Accent6 4 3 2 2 3" xfId="5985"/>
    <cellStyle name="20% - Accent6 4 3 2 2 3 2" xfId="5986"/>
    <cellStyle name="20% - Accent6 4 3 2 2 3 3" xfId="22486"/>
    <cellStyle name="20% - Accent6 4 3 2 2 4" xfId="5987"/>
    <cellStyle name="20% - Accent6 4 3 2 2 5" xfId="19899"/>
    <cellStyle name="20% - Accent6 4 3 2 3" xfId="5988"/>
    <cellStyle name="20% - Accent6 4 3 2 3 2" xfId="5989"/>
    <cellStyle name="20% - Accent6 4 3 2 3 2 2" xfId="5990"/>
    <cellStyle name="20% - Accent6 4 3 2 3 2 3" xfId="23131"/>
    <cellStyle name="20% - Accent6 4 3 2 3 3" xfId="5991"/>
    <cellStyle name="20% - Accent6 4 3 2 3 4" xfId="20548"/>
    <cellStyle name="20% - Accent6 4 3 2 4" xfId="5992"/>
    <cellStyle name="20% - Accent6 4 3 2 4 2" xfId="5993"/>
    <cellStyle name="20% - Accent6 4 3 2 4 3" xfId="21841"/>
    <cellStyle name="20% - Accent6 4 3 2 5" xfId="5994"/>
    <cellStyle name="20% - Accent6 4 3 2 6" xfId="19251"/>
    <cellStyle name="20% - Accent6 4 3 3" xfId="5995"/>
    <cellStyle name="20% - Accent6 4 3 3 2" xfId="5996"/>
    <cellStyle name="20% - Accent6 4 3 3 2 2" xfId="5997"/>
    <cellStyle name="20% - Accent6 4 3 3 2 2 2" xfId="5998"/>
    <cellStyle name="20% - Accent6 4 3 3 2 2 3" xfId="23454"/>
    <cellStyle name="20% - Accent6 4 3 3 2 3" xfId="5999"/>
    <cellStyle name="20% - Accent6 4 3 3 2 4" xfId="20871"/>
    <cellStyle name="20% - Accent6 4 3 3 3" xfId="6000"/>
    <cellStyle name="20% - Accent6 4 3 3 3 2" xfId="6001"/>
    <cellStyle name="20% - Accent6 4 3 3 3 3" xfId="22164"/>
    <cellStyle name="20% - Accent6 4 3 3 4" xfId="6002"/>
    <cellStyle name="20% - Accent6 4 3 3 5" xfId="19577"/>
    <cellStyle name="20% - Accent6 4 3 4" xfId="6003"/>
    <cellStyle name="20% - Accent6 4 3 4 2" xfId="6004"/>
    <cellStyle name="20% - Accent6 4 3 4 2 2" xfId="6005"/>
    <cellStyle name="20% - Accent6 4 3 4 2 3" xfId="22809"/>
    <cellStyle name="20% - Accent6 4 3 4 3" xfId="6006"/>
    <cellStyle name="20% - Accent6 4 3 4 4" xfId="20226"/>
    <cellStyle name="20% - Accent6 4 3 5" xfId="6007"/>
    <cellStyle name="20% - Accent6 4 3 5 2" xfId="6008"/>
    <cellStyle name="20% - Accent6 4 3 5 3" xfId="21519"/>
    <cellStyle name="20% - Accent6 4 3 6" xfId="6009"/>
    <cellStyle name="20% - Accent6 4 3 7" xfId="18925"/>
    <cellStyle name="20% - Accent6 4 4" xfId="6010"/>
    <cellStyle name="20% - Accent6 4 4 2" xfId="6011"/>
    <cellStyle name="20% - Accent6 4 4 2 2" xfId="6012"/>
    <cellStyle name="20% - Accent6 4 4 2 2 2" xfId="6013"/>
    <cellStyle name="20% - Accent6 4 4 2 2 2 2" xfId="6014"/>
    <cellStyle name="20% - Accent6 4 4 2 2 2 3" xfId="23615"/>
    <cellStyle name="20% - Accent6 4 4 2 2 3" xfId="6015"/>
    <cellStyle name="20% - Accent6 4 4 2 2 4" xfId="21032"/>
    <cellStyle name="20% - Accent6 4 4 2 3" xfId="6016"/>
    <cellStyle name="20% - Accent6 4 4 2 3 2" xfId="6017"/>
    <cellStyle name="20% - Accent6 4 4 2 3 3" xfId="22325"/>
    <cellStyle name="20% - Accent6 4 4 2 4" xfId="6018"/>
    <cellStyle name="20% - Accent6 4 4 2 5" xfId="19738"/>
    <cellStyle name="20% - Accent6 4 4 3" xfId="6019"/>
    <cellStyle name="20% - Accent6 4 4 3 2" xfId="6020"/>
    <cellStyle name="20% - Accent6 4 4 3 2 2" xfId="6021"/>
    <cellStyle name="20% - Accent6 4 4 3 2 3" xfId="22970"/>
    <cellStyle name="20% - Accent6 4 4 3 3" xfId="6022"/>
    <cellStyle name="20% - Accent6 4 4 3 4" xfId="20387"/>
    <cellStyle name="20% - Accent6 4 4 4" xfId="6023"/>
    <cellStyle name="20% - Accent6 4 4 4 2" xfId="6024"/>
    <cellStyle name="20% - Accent6 4 4 4 3" xfId="21680"/>
    <cellStyle name="20% - Accent6 4 4 5" xfId="6025"/>
    <cellStyle name="20% - Accent6 4 4 6" xfId="19090"/>
    <cellStyle name="20% - Accent6 4 5" xfId="6026"/>
    <cellStyle name="20% - Accent6 4 5 2" xfId="6027"/>
    <cellStyle name="20% - Accent6 4 5 2 2" xfId="6028"/>
    <cellStyle name="20% - Accent6 4 5 2 2 2" xfId="6029"/>
    <cellStyle name="20% - Accent6 4 5 2 2 3" xfId="23292"/>
    <cellStyle name="20% - Accent6 4 5 2 3" xfId="6030"/>
    <cellStyle name="20% - Accent6 4 5 2 4" xfId="20709"/>
    <cellStyle name="20% - Accent6 4 5 3" xfId="6031"/>
    <cellStyle name="20% - Accent6 4 5 3 2" xfId="6032"/>
    <cellStyle name="20% - Accent6 4 5 3 3" xfId="22002"/>
    <cellStyle name="20% - Accent6 4 5 4" xfId="6033"/>
    <cellStyle name="20% - Accent6 4 5 5" xfId="19416"/>
    <cellStyle name="20% - Accent6 4 6" xfId="6034"/>
    <cellStyle name="20% - Accent6 4 6 2" xfId="6035"/>
    <cellStyle name="20% - Accent6 4 6 2 2" xfId="6036"/>
    <cellStyle name="20% - Accent6 4 6 2 3" xfId="22647"/>
    <cellStyle name="20% - Accent6 4 6 3" xfId="6037"/>
    <cellStyle name="20% - Accent6 4 6 4" xfId="20064"/>
    <cellStyle name="20% - Accent6 4 7" xfId="6038"/>
    <cellStyle name="20% - Accent6 4 7 2" xfId="6039"/>
    <cellStyle name="20% - Accent6 4 7 3" xfId="21357"/>
    <cellStyle name="20% - Accent6 4 8" xfId="6040"/>
    <cellStyle name="20% - Accent6 4 9" xfId="18739"/>
    <cellStyle name="20% - Accent6 5" xfId="6041"/>
    <cellStyle name="20% - Accent6 5 2" xfId="6042"/>
    <cellStyle name="20% - Accent6 5 2 2" xfId="6043"/>
    <cellStyle name="20% - Accent6 5 2 2 2" xfId="6044"/>
    <cellStyle name="20% - Accent6 5 2 2 2 2" xfId="6045"/>
    <cellStyle name="20% - Accent6 5 2 2 2 2 2" xfId="6046"/>
    <cellStyle name="20% - Accent6 5 2 2 2 2 2 2" xfId="6047"/>
    <cellStyle name="20% - Accent6 5 2 2 2 2 2 3" xfId="23816"/>
    <cellStyle name="20% - Accent6 5 2 2 2 2 3" xfId="6048"/>
    <cellStyle name="20% - Accent6 5 2 2 2 2 4" xfId="21233"/>
    <cellStyle name="20% - Accent6 5 2 2 2 3" xfId="6049"/>
    <cellStyle name="20% - Accent6 5 2 2 2 3 2" xfId="6050"/>
    <cellStyle name="20% - Accent6 5 2 2 2 3 3" xfId="22526"/>
    <cellStyle name="20% - Accent6 5 2 2 2 4" xfId="6051"/>
    <cellStyle name="20% - Accent6 5 2 2 2 5" xfId="19939"/>
    <cellStyle name="20% - Accent6 5 2 2 3" xfId="6052"/>
    <cellStyle name="20% - Accent6 5 2 2 3 2" xfId="6053"/>
    <cellStyle name="20% - Accent6 5 2 2 3 2 2" xfId="6054"/>
    <cellStyle name="20% - Accent6 5 2 2 3 2 3" xfId="23171"/>
    <cellStyle name="20% - Accent6 5 2 2 3 3" xfId="6055"/>
    <cellStyle name="20% - Accent6 5 2 2 3 4" xfId="20588"/>
    <cellStyle name="20% - Accent6 5 2 2 4" xfId="6056"/>
    <cellStyle name="20% - Accent6 5 2 2 4 2" xfId="6057"/>
    <cellStyle name="20% - Accent6 5 2 2 4 3" xfId="21881"/>
    <cellStyle name="20% - Accent6 5 2 2 5" xfId="6058"/>
    <cellStyle name="20% - Accent6 5 2 2 6" xfId="19291"/>
    <cellStyle name="20% - Accent6 5 2 3" xfId="6059"/>
    <cellStyle name="20% - Accent6 5 2 3 2" xfId="6060"/>
    <cellStyle name="20% - Accent6 5 2 3 2 2" xfId="6061"/>
    <cellStyle name="20% - Accent6 5 2 3 2 2 2" xfId="6062"/>
    <cellStyle name="20% - Accent6 5 2 3 2 2 3" xfId="23494"/>
    <cellStyle name="20% - Accent6 5 2 3 2 3" xfId="6063"/>
    <cellStyle name="20% - Accent6 5 2 3 2 4" xfId="20911"/>
    <cellStyle name="20% - Accent6 5 2 3 3" xfId="6064"/>
    <cellStyle name="20% - Accent6 5 2 3 3 2" xfId="6065"/>
    <cellStyle name="20% - Accent6 5 2 3 3 3" xfId="22204"/>
    <cellStyle name="20% - Accent6 5 2 3 4" xfId="6066"/>
    <cellStyle name="20% - Accent6 5 2 3 5" xfId="19617"/>
    <cellStyle name="20% - Accent6 5 2 4" xfId="6067"/>
    <cellStyle name="20% - Accent6 5 2 4 2" xfId="6068"/>
    <cellStyle name="20% - Accent6 5 2 4 2 2" xfId="6069"/>
    <cellStyle name="20% - Accent6 5 2 4 2 3" xfId="22849"/>
    <cellStyle name="20% - Accent6 5 2 4 3" xfId="6070"/>
    <cellStyle name="20% - Accent6 5 2 4 4" xfId="20266"/>
    <cellStyle name="20% - Accent6 5 2 5" xfId="6071"/>
    <cellStyle name="20% - Accent6 5 2 5 2" xfId="6072"/>
    <cellStyle name="20% - Accent6 5 2 5 3" xfId="21559"/>
    <cellStyle name="20% - Accent6 5 2 6" xfId="6073"/>
    <cellStyle name="20% - Accent6 5 2 7" xfId="18965"/>
    <cellStyle name="20% - Accent6 5 3" xfId="6074"/>
    <cellStyle name="20% - Accent6 5 3 2" xfId="6075"/>
    <cellStyle name="20% - Accent6 5 3 2 2" xfId="6076"/>
    <cellStyle name="20% - Accent6 5 3 2 2 2" xfId="6077"/>
    <cellStyle name="20% - Accent6 5 3 2 2 2 2" xfId="6078"/>
    <cellStyle name="20% - Accent6 5 3 2 2 2 3" xfId="23655"/>
    <cellStyle name="20% - Accent6 5 3 2 2 3" xfId="6079"/>
    <cellStyle name="20% - Accent6 5 3 2 2 4" xfId="21072"/>
    <cellStyle name="20% - Accent6 5 3 2 3" xfId="6080"/>
    <cellStyle name="20% - Accent6 5 3 2 3 2" xfId="6081"/>
    <cellStyle name="20% - Accent6 5 3 2 3 3" xfId="22365"/>
    <cellStyle name="20% - Accent6 5 3 2 4" xfId="6082"/>
    <cellStyle name="20% - Accent6 5 3 2 5" xfId="19778"/>
    <cellStyle name="20% - Accent6 5 3 3" xfId="6083"/>
    <cellStyle name="20% - Accent6 5 3 3 2" xfId="6084"/>
    <cellStyle name="20% - Accent6 5 3 3 2 2" xfId="6085"/>
    <cellStyle name="20% - Accent6 5 3 3 2 3" xfId="23010"/>
    <cellStyle name="20% - Accent6 5 3 3 3" xfId="6086"/>
    <cellStyle name="20% - Accent6 5 3 3 4" xfId="20427"/>
    <cellStyle name="20% - Accent6 5 3 4" xfId="6087"/>
    <cellStyle name="20% - Accent6 5 3 4 2" xfId="6088"/>
    <cellStyle name="20% - Accent6 5 3 4 3" xfId="21720"/>
    <cellStyle name="20% - Accent6 5 3 5" xfId="6089"/>
    <cellStyle name="20% - Accent6 5 3 6" xfId="19130"/>
    <cellStyle name="20% - Accent6 5 4" xfId="6090"/>
    <cellStyle name="20% - Accent6 5 4 2" xfId="6091"/>
    <cellStyle name="20% - Accent6 5 4 2 2" xfId="6092"/>
    <cellStyle name="20% - Accent6 5 4 2 2 2" xfId="6093"/>
    <cellStyle name="20% - Accent6 5 4 2 2 3" xfId="23333"/>
    <cellStyle name="20% - Accent6 5 4 2 3" xfId="6094"/>
    <cellStyle name="20% - Accent6 5 4 2 4" xfId="20750"/>
    <cellStyle name="20% - Accent6 5 4 3" xfId="6095"/>
    <cellStyle name="20% - Accent6 5 4 3 2" xfId="6096"/>
    <cellStyle name="20% - Accent6 5 4 3 3" xfId="22043"/>
    <cellStyle name="20% - Accent6 5 4 4" xfId="6097"/>
    <cellStyle name="20% - Accent6 5 4 5" xfId="19456"/>
    <cellStyle name="20% - Accent6 5 5" xfId="6098"/>
    <cellStyle name="20% - Accent6 5 5 2" xfId="6099"/>
    <cellStyle name="20% - Accent6 5 5 2 2" xfId="6100"/>
    <cellStyle name="20% - Accent6 5 5 2 3" xfId="22688"/>
    <cellStyle name="20% - Accent6 5 5 3" xfId="6101"/>
    <cellStyle name="20% - Accent6 5 5 4" xfId="20105"/>
    <cellStyle name="20% - Accent6 5 6" xfId="6102"/>
    <cellStyle name="20% - Accent6 5 6 2" xfId="6103"/>
    <cellStyle name="20% - Accent6 5 6 3" xfId="21398"/>
    <cellStyle name="20% - Accent6 5 7" xfId="6104"/>
    <cellStyle name="20% - Accent6 5 8" xfId="18792"/>
    <cellStyle name="20% - Accent6 6" xfId="6105"/>
    <cellStyle name="20% - Accent6 6 2" xfId="6106"/>
    <cellStyle name="20% - Accent6 6 2 2" xfId="6107"/>
    <cellStyle name="20% - Accent6 6 2 2 2" xfId="6108"/>
    <cellStyle name="20% - Accent6 6 2 2 2 2" xfId="6109"/>
    <cellStyle name="20% - Accent6 6 2 2 2 2 2" xfId="6110"/>
    <cellStyle name="20% - Accent6 6 2 2 2 2 3" xfId="23736"/>
    <cellStyle name="20% - Accent6 6 2 2 2 3" xfId="6111"/>
    <cellStyle name="20% - Accent6 6 2 2 2 4" xfId="21153"/>
    <cellStyle name="20% - Accent6 6 2 2 3" xfId="6112"/>
    <cellStyle name="20% - Accent6 6 2 2 3 2" xfId="6113"/>
    <cellStyle name="20% - Accent6 6 2 2 3 3" xfId="22446"/>
    <cellStyle name="20% - Accent6 6 2 2 4" xfId="6114"/>
    <cellStyle name="20% - Accent6 6 2 2 5" xfId="19859"/>
    <cellStyle name="20% - Accent6 6 2 3" xfId="6115"/>
    <cellStyle name="20% - Accent6 6 2 3 2" xfId="6116"/>
    <cellStyle name="20% - Accent6 6 2 3 2 2" xfId="6117"/>
    <cellStyle name="20% - Accent6 6 2 3 2 3" xfId="23091"/>
    <cellStyle name="20% - Accent6 6 2 3 3" xfId="6118"/>
    <cellStyle name="20% - Accent6 6 2 3 4" xfId="20508"/>
    <cellStyle name="20% - Accent6 6 2 4" xfId="6119"/>
    <cellStyle name="20% - Accent6 6 2 4 2" xfId="6120"/>
    <cellStyle name="20% - Accent6 6 2 4 3" xfId="21801"/>
    <cellStyle name="20% - Accent6 6 2 5" xfId="6121"/>
    <cellStyle name="20% - Accent6 6 2 6" xfId="19211"/>
    <cellStyle name="20% - Accent6 6 3" xfId="6122"/>
    <cellStyle name="20% - Accent6 6 3 2" xfId="6123"/>
    <cellStyle name="20% - Accent6 6 3 2 2" xfId="6124"/>
    <cellStyle name="20% - Accent6 6 3 2 2 2" xfId="6125"/>
    <cellStyle name="20% - Accent6 6 3 2 2 3" xfId="23414"/>
    <cellStyle name="20% - Accent6 6 3 2 3" xfId="6126"/>
    <cellStyle name="20% - Accent6 6 3 2 4" xfId="20831"/>
    <cellStyle name="20% - Accent6 6 3 3" xfId="6127"/>
    <cellStyle name="20% - Accent6 6 3 3 2" xfId="6128"/>
    <cellStyle name="20% - Accent6 6 3 3 3" xfId="22124"/>
    <cellStyle name="20% - Accent6 6 3 4" xfId="6129"/>
    <cellStyle name="20% - Accent6 6 3 5" xfId="19537"/>
    <cellStyle name="20% - Accent6 6 4" xfId="6130"/>
    <cellStyle name="20% - Accent6 6 4 2" xfId="6131"/>
    <cellStyle name="20% - Accent6 6 4 2 2" xfId="6132"/>
    <cellStyle name="20% - Accent6 6 4 2 3" xfId="22769"/>
    <cellStyle name="20% - Accent6 6 4 3" xfId="6133"/>
    <cellStyle name="20% - Accent6 6 4 4" xfId="20186"/>
    <cellStyle name="20% - Accent6 6 5" xfId="6134"/>
    <cellStyle name="20% - Accent6 6 5 2" xfId="6135"/>
    <cellStyle name="20% - Accent6 6 5 3" xfId="21479"/>
    <cellStyle name="20% - Accent6 6 6" xfId="6136"/>
    <cellStyle name="20% - Accent6 6 7" xfId="18881"/>
    <cellStyle name="20% - Accent6 7" xfId="6137"/>
    <cellStyle name="20% - Accent6 7 2" xfId="6138"/>
    <cellStyle name="20% - Accent6 7 2 2" xfId="6139"/>
    <cellStyle name="20% - Accent6 7 2 2 2" xfId="6140"/>
    <cellStyle name="20% - Accent6 7 2 2 2 2" xfId="6141"/>
    <cellStyle name="20% - Accent6 7 2 2 2 3" xfId="23575"/>
    <cellStyle name="20% - Accent6 7 2 2 3" xfId="6142"/>
    <cellStyle name="20% - Accent6 7 2 2 4" xfId="20992"/>
    <cellStyle name="20% - Accent6 7 2 3" xfId="6143"/>
    <cellStyle name="20% - Accent6 7 2 3 2" xfId="6144"/>
    <cellStyle name="20% - Accent6 7 2 3 3" xfId="22285"/>
    <cellStyle name="20% - Accent6 7 2 4" xfId="6145"/>
    <cellStyle name="20% - Accent6 7 2 5" xfId="19698"/>
    <cellStyle name="20% - Accent6 7 3" xfId="6146"/>
    <cellStyle name="20% - Accent6 7 3 2" xfId="6147"/>
    <cellStyle name="20% - Accent6 7 3 2 2" xfId="6148"/>
    <cellStyle name="20% - Accent6 7 3 2 3" xfId="22930"/>
    <cellStyle name="20% - Accent6 7 3 3" xfId="6149"/>
    <cellStyle name="20% - Accent6 7 3 4" xfId="20347"/>
    <cellStyle name="20% - Accent6 7 4" xfId="6150"/>
    <cellStyle name="20% - Accent6 7 4 2" xfId="6151"/>
    <cellStyle name="20% - Accent6 7 4 3" xfId="21640"/>
    <cellStyle name="20% - Accent6 7 5" xfId="6152"/>
    <cellStyle name="20% - Accent6 7 6" xfId="19046"/>
    <cellStyle name="20% - Accent6 8" xfId="6153"/>
    <cellStyle name="20% - Accent6 8 2" xfId="6154"/>
    <cellStyle name="20% - Accent6 8 2 2" xfId="6155"/>
    <cellStyle name="20% - Accent6 8 2 2 2" xfId="6156"/>
    <cellStyle name="20% - Accent6 8 2 2 3" xfId="23252"/>
    <cellStyle name="20% - Accent6 8 2 3" xfId="6157"/>
    <cellStyle name="20% - Accent6 8 2 4" xfId="20669"/>
    <cellStyle name="20% - Accent6 8 3" xfId="6158"/>
    <cellStyle name="20% - Accent6 8 3 2" xfId="6159"/>
    <cellStyle name="20% - Accent6 8 3 3" xfId="21962"/>
    <cellStyle name="20% - Accent6 8 4" xfId="6160"/>
    <cellStyle name="20% - Accent6 8 5" xfId="19372"/>
    <cellStyle name="20% - Accent6 9" xfId="6161"/>
    <cellStyle name="20% - Accent6 9 2" xfId="6162"/>
    <cellStyle name="20% - Accent6 9 2 2" xfId="6163"/>
    <cellStyle name="20% - Accent6 9 2 3" xfId="22607"/>
    <cellStyle name="20% - Accent6 9 3" xfId="6164"/>
    <cellStyle name="20% - Accent6 9 4" xfId="20020"/>
    <cellStyle name="40% - Accent1 10" xfId="6165"/>
    <cellStyle name="40% - Accent1 10 2" xfId="6166"/>
    <cellStyle name="40% - Accent1 10 3" xfId="21307"/>
    <cellStyle name="40% - Accent1 11" xfId="6167"/>
    <cellStyle name="40% - Accent1 12" xfId="6168"/>
    <cellStyle name="40% - Accent1 13" xfId="6169"/>
    <cellStyle name="40% - Accent1 14" xfId="6170"/>
    <cellStyle name="40% - Accent1 15" xfId="18612"/>
    <cellStyle name="40% - Accent1 2" xfId="6171"/>
    <cellStyle name="40% - Accent1 2 10" xfId="6172"/>
    <cellStyle name="40% - Accent1 2 11" xfId="18636"/>
    <cellStyle name="40% - Accent1 2 2" xfId="6173"/>
    <cellStyle name="40% - Accent1 2 2 10" xfId="18723"/>
    <cellStyle name="40% - Accent1 2 2 2" xfId="6174"/>
    <cellStyle name="40% - Accent1 2 2 2 2" xfId="6175"/>
    <cellStyle name="40% - Accent1 2 2 2 2 2" xfId="6176"/>
    <cellStyle name="40% - Accent1 2 2 2 2 2 2" xfId="6177"/>
    <cellStyle name="40% - Accent1 2 2 2 2 2 2 2" xfId="6178"/>
    <cellStyle name="40% - Accent1 2 2 2 2 2 2 2 2" xfId="6179"/>
    <cellStyle name="40% - Accent1 2 2 2 2 2 2 2 2 2" xfId="6180"/>
    <cellStyle name="40% - Accent1 2 2 2 2 2 2 2 2 2 2" xfId="6181"/>
    <cellStyle name="40% - Accent1 2 2 2 2 2 2 2 2 2 3" xfId="23880"/>
    <cellStyle name="40% - Accent1 2 2 2 2 2 2 2 2 3" xfId="6182"/>
    <cellStyle name="40% - Accent1 2 2 2 2 2 2 2 2 4" xfId="21297"/>
    <cellStyle name="40% - Accent1 2 2 2 2 2 2 2 3" xfId="6183"/>
    <cellStyle name="40% - Accent1 2 2 2 2 2 2 2 3 2" xfId="6184"/>
    <cellStyle name="40% - Accent1 2 2 2 2 2 2 2 3 3" xfId="22590"/>
    <cellStyle name="40% - Accent1 2 2 2 2 2 2 2 4" xfId="6185"/>
    <cellStyle name="40% - Accent1 2 2 2 2 2 2 2 5" xfId="20003"/>
    <cellStyle name="40% - Accent1 2 2 2 2 2 2 3" xfId="6186"/>
    <cellStyle name="40% - Accent1 2 2 2 2 2 2 3 2" xfId="6187"/>
    <cellStyle name="40% - Accent1 2 2 2 2 2 2 3 2 2" xfId="6188"/>
    <cellStyle name="40% - Accent1 2 2 2 2 2 2 3 2 3" xfId="23235"/>
    <cellStyle name="40% - Accent1 2 2 2 2 2 2 3 3" xfId="6189"/>
    <cellStyle name="40% - Accent1 2 2 2 2 2 2 3 4" xfId="20652"/>
    <cellStyle name="40% - Accent1 2 2 2 2 2 2 4" xfId="6190"/>
    <cellStyle name="40% - Accent1 2 2 2 2 2 2 4 2" xfId="6191"/>
    <cellStyle name="40% - Accent1 2 2 2 2 2 2 4 3" xfId="21945"/>
    <cellStyle name="40% - Accent1 2 2 2 2 2 2 5" xfId="6192"/>
    <cellStyle name="40% - Accent1 2 2 2 2 2 2 6" xfId="19355"/>
    <cellStyle name="40% - Accent1 2 2 2 2 2 3" xfId="6193"/>
    <cellStyle name="40% - Accent1 2 2 2 2 2 3 2" xfId="6194"/>
    <cellStyle name="40% - Accent1 2 2 2 2 2 3 2 2" xfId="6195"/>
    <cellStyle name="40% - Accent1 2 2 2 2 2 3 2 2 2" xfId="6196"/>
    <cellStyle name="40% - Accent1 2 2 2 2 2 3 2 2 3" xfId="23558"/>
    <cellStyle name="40% - Accent1 2 2 2 2 2 3 2 3" xfId="6197"/>
    <cellStyle name="40% - Accent1 2 2 2 2 2 3 2 4" xfId="20975"/>
    <cellStyle name="40% - Accent1 2 2 2 2 2 3 3" xfId="6198"/>
    <cellStyle name="40% - Accent1 2 2 2 2 2 3 3 2" xfId="6199"/>
    <cellStyle name="40% - Accent1 2 2 2 2 2 3 3 3" xfId="22268"/>
    <cellStyle name="40% - Accent1 2 2 2 2 2 3 4" xfId="6200"/>
    <cellStyle name="40% - Accent1 2 2 2 2 2 3 5" xfId="19681"/>
    <cellStyle name="40% - Accent1 2 2 2 2 2 4" xfId="6201"/>
    <cellStyle name="40% - Accent1 2 2 2 2 2 4 2" xfId="6202"/>
    <cellStyle name="40% - Accent1 2 2 2 2 2 4 2 2" xfId="6203"/>
    <cellStyle name="40% - Accent1 2 2 2 2 2 4 2 3" xfId="22913"/>
    <cellStyle name="40% - Accent1 2 2 2 2 2 4 3" xfId="6204"/>
    <cellStyle name="40% - Accent1 2 2 2 2 2 4 4" xfId="20330"/>
    <cellStyle name="40% - Accent1 2 2 2 2 2 5" xfId="6205"/>
    <cellStyle name="40% - Accent1 2 2 2 2 2 5 2" xfId="6206"/>
    <cellStyle name="40% - Accent1 2 2 2 2 2 5 3" xfId="21623"/>
    <cellStyle name="40% - Accent1 2 2 2 2 2 6" xfId="6207"/>
    <cellStyle name="40% - Accent1 2 2 2 2 2 7" xfId="19029"/>
    <cellStyle name="40% - Accent1 2 2 2 2 3" xfId="6208"/>
    <cellStyle name="40% - Accent1 2 2 2 2 3 2" xfId="6209"/>
    <cellStyle name="40% - Accent1 2 2 2 2 3 2 2" xfId="6210"/>
    <cellStyle name="40% - Accent1 2 2 2 2 3 2 2 2" xfId="6211"/>
    <cellStyle name="40% - Accent1 2 2 2 2 3 2 2 2 2" xfId="6212"/>
    <cellStyle name="40% - Accent1 2 2 2 2 3 2 2 2 3" xfId="23719"/>
    <cellStyle name="40% - Accent1 2 2 2 2 3 2 2 3" xfId="6213"/>
    <cellStyle name="40% - Accent1 2 2 2 2 3 2 2 4" xfId="21136"/>
    <cellStyle name="40% - Accent1 2 2 2 2 3 2 3" xfId="6214"/>
    <cellStyle name="40% - Accent1 2 2 2 2 3 2 3 2" xfId="6215"/>
    <cellStyle name="40% - Accent1 2 2 2 2 3 2 3 3" xfId="22429"/>
    <cellStyle name="40% - Accent1 2 2 2 2 3 2 4" xfId="6216"/>
    <cellStyle name="40% - Accent1 2 2 2 2 3 2 5" xfId="19842"/>
    <cellStyle name="40% - Accent1 2 2 2 2 3 3" xfId="6217"/>
    <cellStyle name="40% - Accent1 2 2 2 2 3 3 2" xfId="6218"/>
    <cellStyle name="40% - Accent1 2 2 2 2 3 3 2 2" xfId="6219"/>
    <cellStyle name="40% - Accent1 2 2 2 2 3 3 2 3" xfId="23074"/>
    <cellStyle name="40% - Accent1 2 2 2 2 3 3 3" xfId="6220"/>
    <cellStyle name="40% - Accent1 2 2 2 2 3 3 4" xfId="20491"/>
    <cellStyle name="40% - Accent1 2 2 2 2 3 4" xfId="6221"/>
    <cellStyle name="40% - Accent1 2 2 2 2 3 4 2" xfId="6222"/>
    <cellStyle name="40% - Accent1 2 2 2 2 3 4 3" xfId="21784"/>
    <cellStyle name="40% - Accent1 2 2 2 2 3 5" xfId="6223"/>
    <cellStyle name="40% - Accent1 2 2 2 2 3 6" xfId="19194"/>
    <cellStyle name="40% - Accent1 2 2 2 2 4" xfId="6224"/>
    <cellStyle name="40% - Accent1 2 2 2 2 4 2" xfId="6225"/>
    <cellStyle name="40% - Accent1 2 2 2 2 4 2 2" xfId="6226"/>
    <cellStyle name="40% - Accent1 2 2 2 2 4 2 2 2" xfId="6227"/>
    <cellStyle name="40% - Accent1 2 2 2 2 4 2 2 3" xfId="23397"/>
    <cellStyle name="40% - Accent1 2 2 2 2 4 2 3" xfId="6228"/>
    <cellStyle name="40% - Accent1 2 2 2 2 4 2 4" xfId="20814"/>
    <cellStyle name="40% - Accent1 2 2 2 2 4 3" xfId="6229"/>
    <cellStyle name="40% - Accent1 2 2 2 2 4 3 2" xfId="6230"/>
    <cellStyle name="40% - Accent1 2 2 2 2 4 3 3" xfId="22107"/>
    <cellStyle name="40% - Accent1 2 2 2 2 4 4" xfId="6231"/>
    <cellStyle name="40% - Accent1 2 2 2 2 4 5" xfId="19520"/>
    <cellStyle name="40% - Accent1 2 2 2 2 5" xfId="6232"/>
    <cellStyle name="40% - Accent1 2 2 2 2 5 2" xfId="6233"/>
    <cellStyle name="40% - Accent1 2 2 2 2 5 2 2" xfId="6234"/>
    <cellStyle name="40% - Accent1 2 2 2 2 5 2 3" xfId="22752"/>
    <cellStyle name="40% - Accent1 2 2 2 2 5 3" xfId="6235"/>
    <cellStyle name="40% - Accent1 2 2 2 2 5 4" xfId="20169"/>
    <cellStyle name="40% - Accent1 2 2 2 2 6" xfId="6236"/>
    <cellStyle name="40% - Accent1 2 2 2 2 6 2" xfId="6237"/>
    <cellStyle name="40% - Accent1 2 2 2 2 6 3" xfId="21462"/>
    <cellStyle name="40% - Accent1 2 2 2 2 7" xfId="6238"/>
    <cellStyle name="40% - Accent1 2 2 2 2 8" xfId="18864"/>
    <cellStyle name="40% - Accent1 2 2 2 3" xfId="6239"/>
    <cellStyle name="40% - Accent1 2 2 2 3 2" xfId="6240"/>
    <cellStyle name="40% - Accent1 2 2 2 3 2 2" xfId="6241"/>
    <cellStyle name="40% - Accent1 2 2 2 3 2 2 2" xfId="6242"/>
    <cellStyle name="40% - Accent1 2 2 2 3 2 2 2 2" xfId="6243"/>
    <cellStyle name="40% - Accent1 2 2 2 3 2 2 2 2 2" xfId="6244"/>
    <cellStyle name="40% - Accent1 2 2 2 3 2 2 2 2 3" xfId="23800"/>
    <cellStyle name="40% - Accent1 2 2 2 3 2 2 2 3" xfId="6245"/>
    <cellStyle name="40% - Accent1 2 2 2 3 2 2 2 4" xfId="21217"/>
    <cellStyle name="40% - Accent1 2 2 2 3 2 2 3" xfId="6246"/>
    <cellStyle name="40% - Accent1 2 2 2 3 2 2 3 2" xfId="6247"/>
    <cellStyle name="40% - Accent1 2 2 2 3 2 2 3 3" xfId="22510"/>
    <cellStyle name="40% - Accent1 2 2 2 3 2 2 4" xfId="6248"/>
    <cellStyle name="40% - Accent1 2 2 2 3 2 2 5" xfId="19923"/>
    <cellStyle name="40% - Accent1 2 2 2 3 2 3" xfId="6249"/>
    <cellStyle name="40% - Accent1 2 2 2 3 2 3 2" xfId="6250"/>
    <cellStyle name="40% - Accent1 2 2 2 3 2 3 2 2" xfId="6251"/>
    <cellStyle name="40% - Accent1 2 2 2 3 2 3 2 3" xfId="23155"/>
    <cellStyle name="40% - Accent1 2 2 2 3 2 3 3" xfId="6252"/>
    <cellStyle name="40% - Accent1 2 2 2 3 2 3 4" xfId="20572"/>
    <cellStyle name="40% - Accent1 2 2 2 3 2 4" xfId="6253"/>
    <cellStyle name="40% - Accent1 2 2 2 3 2 4 2" xfId="6254"/>
    <cellStyle name="40% - Accent1 2 2 2 3 2 4 3" xfId="21865"/>
    <cellStyle name="40% - Accent1 2 2 2 3 2 5" xfId="6255"/>
    <cellStyle name="40% - Accent1 2 2 2 3 2 6" xfId="19275"/>
    <cellStyle name="40% - Accent1 2 2 2 3 3" xfId="6256"/>
    <cellStyle name="40% - Accent1 2 2 2 3 3 2" xfId="6257"/>
    <cellStyle name="40% - Accent1 2 2 2 3 3 2 2" xfId="6258"/>
    <cellStyle name="40% - Accent1 2 2 2 3 3 2 2 2" xfId="6259"/>
    <cellStyle name="40% - Accent1 2 2 2 3 3 2 2 3" xfId="23478"/>
    <cellStyle name="40% - Accent1 2 2 2 3 3 2 3" xfId="6260"/>
    <cellStyle name="40% - Accent1 2 2 2 3 3 2 4" xfId="20895"/>
    <cellStyle name="40% - Accent1 2 2 2 3 3 3" xfId="6261"/>
    <cellStyle name="40% - Accent1 2 2 2 3 3 3 2" xfId="6262"/>
    <cellStyle name="40% - Accent1 2 2 2 3 3 3 3" xfId="22188"/>
    <cellStyle name="40% - Accent1 2 2 2 3 3 4" xfId="6263"/>
    <cellStyle name="40% - Accent1 2 2 2 3 3 5" xfId="19601"/>
    <cellStyle name="40% - Accent1 2 2 2 3 4" xfId="6264"/>
    <cellStyle name="40% - Accent1 2 2 2 3 4 2" xfId="6265"/>
    <cellStyle name="40% - Accent1 2 2 2 3 4 2 2" xfId="6266"/>
    <cellStyle name="40% - Accent1 2 2 2 3 4 2 3" xfId="22833"/>
    <cellStyle name="40% - Accent1 2 2 2 3 4 3" xfId="6267"/>
    <cellStyle name="40% - Accent1 2 2 2 3 4 4" xfId="20250"/>
    <cellStyle name="40% - Accent1 2 2 2 3 5" xfId="6268"/>
    <cellStyle name="40% - Accent1 2 2 2 3 5 2" xfId="6269"/>
    <cellStyle name="40% - Accent1 2 2 2 3 5 3" xfId="21543"/>
    <cellStyle name="40% - Accent1 2 2 2 3 6" xfId="6270"/>
    <cellStyle name="40% - Accent1 2 2 2 3 7" xfId="18949"/>
    <cellStyle name="40% - Accent1 2 2 2 4" xfId="6271"/>
    <cellStyle name="40% - Accent1 2 2 2 4 2" xfId="6272"/>
    <cellStyle name="40% - Accent1 2 2 2 4 2 2" xfId="6273"/>
    <cellStyle name="40% - Accent1 2 2 2 4 2 2 2" xfId="6274"/>
    <cellStyle name="40% - Accent1 2 2 2 4 2 2 2 2" xfId="6275"/>
    <cellStyle name="40% - Accent1 2 2 2 4 2 2 2 3" xfId="23639"/>
    <cellStyle name="40% - Accent1 2 2 2 4 2 2 3" xfId="6276"/>
    <cellStyle name="40% - Accent1 2 2 2 4 2 2 4" xfId="21056"/>
    <cellStyle name="40% - Accent1 2 2 2 4 2 3" xfId="6277"/>
    <cellStyle name="40% - Accent1 2 2 2 4 2 3 2" xfId="6278"/>
    <cellStyle name="40% - Accent1 2 2 2 4 2 3 3" xfId="22349"/>
    <cellStyle name="40% - Accent1 2 2 2 4 2 4" xfId="6279"/>
    <cellStyle name="40% - Accent1 2 2 2 4 2 5" xfId="19762"/>
    <cellStyle name="40% - Accent1 2 2 2 4 3" xfId="6280"/>
    <cellStyle name="40% - Accent1 2 2 2 4 3 2" xfId="6281"/>
    <cellStyle name="40% - Accent1 2 2 2 4 3 2 2" xfId="6282"/>
    <cellStyle name="40% - Accent1 2 2 2 4 3 2 3" xfId="22994"/>
    <cellStyle name="40% - Accent1 2 2 2 4 3 3" xfId="6283"/>
    <cellStyle name="40% - Accent1 2 2 2 4 3 4" xfId="20411"/>
    <cellStyle name="40% - Accent1 2 2 2 4 4" xfId="6284"/>
    <cellStyle name="40% - Accent1 2 2 2 4 4 2" xfId="6285"/>
    <cellStyle name="40% - Accent1 2 2 2 4 4 3" xfId="21704"/>
    <cellStyle name="40% - Accent1 2 2 2 4 5" xfId="6286"/>
    <cellStyle name="40% - Accent1 2 2 2 4 6" xfId="19114"/>
    <cellStyle name="40% - Accent1 2 2 2 5" xfId="6287"/>
    <cellStyle name="40% - Accent1 2 2 2 5 2" xfId="6288"/>
    <cellStyle name="40% - Accent1 2 2 2 5 2 2" xfId="6289"/>
    <cellStyle name="40% - Accent1 2 2 2 5 2 2 2" xfId="6290"/>
    <cellStyle name="40% - Accent1 2 2 2 5 2 2 3" xfId="23316"/>
    <cellStyle name="40% - Accent1 2 2 2 5 2 3" xfId="6291"/>
    <cellStyle name="40% - Accent1 2 2 2 5 2 4" xfId="20733"/>
    <cellStyle name="40% - Accent1 2 2 2 5 3" xfId="6292"/>
    <cellStyle name="40% - Accent1 2 2 2 5 3 2" xfId="6293"/>
    <cellStyle name="40% - Accent1 2 2 2 5 3 3" xfId="22026"/>
    <cellStyle name="40% - Accent1 2 2 2 5 4" xfId="6294"/>
    <cellStyle name="40% - Accent1 2 2 2 5 5" xfId="19440"/>
    <cellStyle name="40% - Accent1 2 2 2 6" xfId="6295"/>
    <cellStyle name="40% - Accent1 2 2 2 6 2" xfId="6296"/>
    <cellStyle name="40% - Accent1 2 2 2 6 2 2" xfId="6297"/>
    <cellStyle name="40% - Accent1 2 2 2 6 2 3" xfId="22671"/>
    <cellStyle name="40% - Accent1 2 2 2 6 3" xfId="6298"/>
    <cellStyle name="40% - Accent1 2 2 2 6 4" xfId="20088"/>
    <cellStyle name="40% - Accent1 2 2 2 7" xfId="6299"/>
    <cellStyle name="40% - Accent1 2 2 2 7 2" xfId="6300"/>
    <cellStyle name="40% - Accent1 2 2 2 7 3" xfId="21381"/>
    <cellStyle name="40% - Accent1 2 2 2 8" xfId="6301"/>
    <cellStyle name="40% - Accent1 2 2 2 9" xfId="18767"/>
    <cellStyle name="40% - Accent1 2 2 3" xfId="6302"/>
    <cellStyle name="40% - Accent1 2 2 3 2" xfId="6303"/>
    <cellStyle name="40% - Accent1 2 2 3 2 2" xfId="6304"/>
    <cellStyle name="40% - Accent1 2 2 3 2 2 2" xfId="6305"/>
    <cellStyle name="40% - Accent1 2 2 3 2 2 2 2" xfId="6306"/>
    <cellStyle name="40% - Accent1 2 2 3 2 2 2 2 2" xfId="6307"/>
    <cellStyle name="40% - Accent1 2 2 3 2 2 2 2 2 2" xfId="6308"/>
    <cellStyle name="40% - Accent1 2 2 3 2 2 2 2 2 3" xfId="23840"/>
    <cellStyle name="40% - Accent1 2 2 3 2 2 2 2 3" xfId="6309"/>
    <cellStyle name="40% - Accent1 2 2 3 2 2 2 2 4" xfId="21257"/>
    <cellStyle name="40% - Accent1 2 2 3 2 2 2 3" xfId="6310"/>
    <cellStyle name="40% - Accent1 2 2 3 2 2 2 3 2" xfId="6311"/>
    <cellStyle name="40% - Accent1 2 2 3 2 2 2 3 3" xfId="22550"/>
    <cellStyle name="40% - Accent1 2 2 3 2 2 2 4" xfId="6312"/>
    <cellStyle name="40% - Accent1 2 2 3 2 2 2 5" xfId="19963"/>
    <cellStyle name="40% - Accent1 2 2 3 2 2 3" xfId="6313"/>
    <cellStyle name="40% - Accent1 2 2 3 2 2 3 2" xfId="6314"/>
    <cellStyle name="40% - Accent1 2 2 3 2 2 3 2 2" xfId="6315"/>
    <cellStyle name="40% - Accent1 2 2 3 2 2 3 2 3" xfId="23195"/>
    <cellStyle name="40% - Accent1 2 2 3 2 2 3 3" xfId="6316"/>
    <cellStyle name="40% - Accent1 2 2 3 2 2 3 4" xfId="20612"/>
    <cellStyle name="40% - Accent1 2 2 3 2 2 4" xfId="6317"/>
    <cellStyle name="40% - Accent1 2 2 3 2 2 4 2" xfId="6318"/>
    <cellStyle name="40% - Accent1 2 2 3 2 2 4 3" xfId="21905"/>
    <cellStyle name="40% - Accent1 2 2 3 2 2 5" xfId="6319"/>
    <cellStyle name="40% - Accent1 2 2 3 2 2 6" xfId="19315"/>
    <cellStyle name="40% - Accent1 2 2 3 2 3" xfId="6320"/>
    <cellStyle name="40% - Accent1 2 2 3 2 3 2" xfId="6321"/>
    <cellStyle name="40% - Accent1 2 2 3 2 3 2 2" xfId="6322"/>
    <cellStyle name="40% - Accent1 2 2 3 2 3 2 2 2" xfId="6323"/>
    <cellStyle name="40% - Accent1 2 2 3 2 3 2 2 3" xfId="23518"/>
    <cellStyle name="40% - Accent1 2 2 3 2 3 2 3" xfId="6324"/>
    <cellStyle name="40% - Accent1 2 2 3 2 3 2 4" xfId="20935"/>
    <cellStyle name="40% - Accent1 2 2 3 2 3 3" xfId="6325"/>
    <cellStyle name="40% - Accent1 2 2 3 2 3 3 2" xfId="6326"/>
    <cellStyle name="40% - Accent1 2 2 3 2 3 3 3" xfId="22228"/>
    <cellStyle name="40% - Accent1 2 2 3 2 3 4" xfId="6327"/>
    <cellStyle name="40% - Accent1 2 2 3 2 3 5" xfId="19641"/>
    <cellStyle name="40% - Accent1 2 2 3 2 4" xfId="6328"/>
    <cellStyle name="40% - Accent1 2 2 3 2 4 2" xfId="6329"/>
    <cellStyle name="40% - Accent1 2 2 3 2 4 2 2" xfId="6330"/>
    <cellStyle name="40% - Accent1 2 2 3 2 4 2 3" xfId="22873"/>
    <cellStyle name="40% - Accent1 2 2 3 2 4 3" xfId="6331"/>
    <cellStyle name="40% - Accent1 2 2 3 2 4 4" xfId="20290"/>
    <cellStyle name="40% - Accent1 2 2 3 2 5" xfId="6332"/>
    <cellStyle name="40% - Accent1 2 2 3 2 5 2" xfId="6333"/>
    <cellStyle name="40% - Accent1 2 2 3 2 5 3" xfId="21583"/>
    <cellStyle name="40% - Accent1 2 2 3 2 6" xfId="6334"/>
    <cellStyle name="40% - Accent1 2 2 3 2 7" xfId="18989"/>
    <cellStyle name="40% - Accent1 2 2 3 3" xfId="6335"/>
    <cellStyle name="40% - Accent1 2 2 3 3 2" xfId="6336"/>
    <cellStyle name="40% - Accent1 2 2 3 3 2 2" xfId="6337"/>
    <cellStyle name="40% - Accent1 2 2 3 3 2 2 2" xfId="6338"/>
    <cellStyle name="40% - Accent1 2 2 3 3 2 2 2 2" xfId="6339"/>
    <cellStyle name="40% - Accent1 2 2 3 3 2 2 2 3" xfId="23679"/>
    <cellStyle name="40% - Accent1 2 2 3 3 2 2 3" xfId="6340"/>
    <cellStyle name="40% - Accent1 2 2 3 3 2 2 4" xfId="21096"/>
    <cellStyle name="40% - Accent1 2 2 3 3 2 3" xfId="6341"/>
    <cellStyle name="40% - Accent1 2 2 3 3 2 3 2" xfId="6342"/>
    <cellStyle name="40% - Accent1 2 2 3 3 2 3 3" xfId="22389"/>
    <cellStyle name="40% - Accent1 2 2 3 3 2 4" xfId="6343"/>
    <cellStyle name="40% - Accent1 2 2 3 3 2 5" xfId="19802"/>
    <cellStyle name="40% - Accent1 2 2 3 3 3" xfId="6344"/>
    <cellStyle name="40% - Accent1 2 2 3 3 3 2" xfId="6345"/>
    <cellStyle name="40% - Accent1 2 2 3 3 3 2 2" xfId="6346"/>
    <cellStyle name="40% - Accent1 2 2 3 3 3 2 3" xfId="23034"/>
    <cellStyle name="40% - Accent1 2 2 3 3 3 3" xfId="6347"/>
    <cellStyle name="40% - Accent1 2 2 3 3 3 4" xfId="20451"/>
    <cellStyle name="40% - Accent1 2 2 3 3 4" xfId="6348"/>
    <cellStyle name="40% - Accent1 2 2 3 3 4 2" xfId="6349"/>
    <cellStyle name="40% - Accent1 2 2 3 3 4 3" xfId="21744"/>
    <cellStyle name="40% - Accent1 2 2 3 3 5" xfId="6350"/>
    <cellStyle name="40% - Accent1 2 2 3 3 6" xfId="19154"/>
    <cellStyle name="40% - Accent1 2 2 3 4" xfId="6351"/>
    <cellStyle name="40% - Accent1 2 2 3 4 2" xfId="6352"/>
    <cellStyle name="40% - Accent1 2 2 3 4 2 2" xfId="6353"/>
    <cellStyle name="40% - Accent1 2 2 3 4 2 2 2" xfId="6354"/>
    <cellStyle name="40% - Accent1 2 2 3 4 2 2 3" xfId="23357"/>
    <cellStyle name="40% - Accent1 2 2 3 4 2 3" xfId="6355"/>
    <cellStyle name="40% - Accent1 2 2 3 4 2 4" xfId="20774"/>
    <cellStyle name="40% - Accent1 2 2 3 4 3" xfId="6356"/>
    <cellStyle name="40% - Accent1 2 2 3 4 3 2" xfId="6357"/>
    <cellStyle name="40% - Accent1 2 2 3 4 3 3" xfId="22067"/>
    <cellStyle name="40% - Accent1 2 2 3 4 4" xfId="6358"/>
    <cellStyle name="40% - Accent1 2 2 3 4 5" xfId="19480"/>
    <cellStyle name="40% - Accent1 2 2 3 5" xfId="6359"/>
    <cellStyle name="40% - Accent1 2 2 3 5 2" xfId="6360"/>
    <cellStyle name="40% - Accent1 2 2 3 5 2 2" xfId="6361"/>
    <cellStyle name="40% - Accent1 2 2 3 5 2 3" xfId="22712"/>
    <cellStyle name="40% - Accent1 2 2 3 5 3" xfId="6362"/>
    <cellStyle name="40% - Accent1 2 2 3 5 4" xfId="20129"/>
    <cellStyle name="40% - Accent1 2 2 3 6" xfId="6363"/>
    <cellStyle name="40% - Accent1 2 2 3 6 2" xfId="6364"/>
    <cellStyle name="40% - Accent1 2 2 3 6 3" xfId="21422"/>
    <cellStyle name="40% - Accent1 2 2 3 7" xfId="6365"/>
    <cellStyle name="40% - Accent1 2 2 3 8" xfId="18823"/>
    <cellStyle name="40% - Accent1 2 2 4" xfId="6366"/>
    <cellStyle name="40% - Accent1 2 2 4 2" xfId="6367"/>
    <cellStyle name="40% - Accent1 2 2 4 2 2" xfId="6368"/>
    <cellStyle name="40% - Accent1 2 2 4 2 2 2" xfId="6369"/>
    <cellStyle name="40% - Accent1 2 2 4 2 2 2 2" xfId="6370"/>
    <cellStyle name="40% - Accent1 2 2 4 2 2 2 2 2" xfId="6371"/>
    <cellStyle name="40% - Accent1 2 2 4 2 2 2 2 3" xfId="23760"/>
    <cellStyle name="40% - Accent1 2 2 4 2 2 2 3" xfId="6372"/>
    <cellStyle name="40% - Accent1 2 2 4 2 2 2 4" xfId="21177"/>
    <cellStyle name="40% - Accent1 2 2 4 2 2 3" xfId="6373"/>
    <cellStyle name="40% - Accent1 2 2 4 2 2 3 2" xfId="6374"/>
    <cellStyle name="40% - Accent1 2 2 4 2 2 3 3" xfId="22470"/>
    <cellStyle name="40% - Accent1 2 2 4 2 2 4" xfId="6375"/>
    <cellStyle name="40% - Accent1 2 2 4 2 2 5" xfId="19883"/>
    <cellStyle name="40% - Accent1 2 2 4 2 3" xfId="6376"/>
    <cellStyle name="40% - Accent1 2 2 4 2 3 2" xfId="6377"/>
    <cellStyle name="40% - Accent1 2 2 4 2 3 2 2" xfId="6378"/>
    <cellStyle name="40% - Accent1 2 2 4 2 3 2 3" xfId="23115"/>
    <cellStyle name="40% - Accent1 2 2 4 2 3 3" xfId="6379"/>
    <cellStyle name="40% - Accent1 2 2 4 2 3 4" xfId="20532"/>
    <cellStyle name="40% - Accent1 2 2 4 2 4" xfId="6380"/>
    <cellStyle name="40% - Accent1 2 2 4 2 4 2" xfId="6381"/>
    <cellStyle name="40% - Accent1 2 2 4 2 4 3" xfId="21825"/>
    <cellStyle name="40% - Accent1 2 2 4 2 5" xfId="6382"/>
    <cellStyle name="40% - Accent1 2 2 4 2 6" xfId="19235"/>
    <cellStyle name="40% - Accent1 2 2 4 3" xfId="6383"/>
    <cellStyle name="40% - Accent1 2 2 4 3 2" xfId="6384"/>
    <cellStyle name="40% - Accent1 2 2 4 3 2 2" xfId="6385"/>
    <cellStyle name="40% - Accent1 2 2 4 3 2 2 2" xfId="6386"/>
    <cellStyle name="40% - Accent1 2 2 4 3 2 2 3" xfId="23438"/>
    <cellStyle name="40% - Accent1 2 2 4 3 2 3" xfId="6387"/>
    <cellStyle name="40% - Accent1 2 2 4 3 2 4" xfId="20855"/>
    <cellStyle name="40% - Accent1 2 2 4 3 3" xfId="6388"/>
    <cellStyle name="40% - Accent1 2 2 4 3 3 2" xfId="6389"/>
    <cellStyle name="40% - Accent1 2 2 4 3 3 3" xfId="22148"/>
    <cellStyle name="40% - Accent1 2 2 4 3 4" xfId="6390"/>
    <cellStyle name="40% - Accent1 2 2 4 3 5" xfId="19561"/>
    <cellStyle name="40% - Accent1 2 2 4 4" xfId="6391"/>
    <cellStyle name="40% - Accent1 2 2 4 4 2" xfId="6392"/>
    <cellStyle name="40% - Accent1 2 2 4 4 2 2" xfId="6393"/>
    <cellStyle name="40% - Accent1 2 2 4 4 2 3" xfId="22793"/>
    <cellStyle name="40% - Accent1 2 2 4 4 3" xfId="6394"/>
    <cellStyle name="40% - Accent1 2 2 4 4 4" xfId="20210"/>
    <cellStyle name="40% - Accent1 2 2 4 5" xfId="6395"/>
    <cellStyle name="40% - Accent1 2 2 4 5 2" xfId="6396"/>
    <cellStyle name="40% - Accent1 2 2 4 5 3" xfId="21503"/>
    <cellStyle name="40% - Accent1 2 2 4 6" xfId="6397"/>
    <cellStyle name="40% - Accent1 2 2 4 7" xfId="18909"/>
    <cellStyle name="40% - Accent1 2 2 5" xfId="6398"/>
    <cellStyle name="40% - Accent1 2 2 5 2" xfId="6399"/>
    <cellStyle name="40% - Accent1 2 2 5 2 2" xfId="6400"/>
    <cellStyle name="40% - Accent1 2 2 5 2 2 2" xfId="6401"/>
    <cellStyle name="40% - Accent1 2 2 5 2 2 2 2" xfId="6402"/>
    <cellStyle name="40% - Accent1 2 2 5 2 2 2 3" xfId="23599"/>
    <cellStyle name="40% - Accent1 2 2 5 2 2 3" xfId="6403"/>
    <cellStyle name="40% - Accent1 2 2 5 2 2 4" xfId="21016"/>
    <cellStyle name="40% - Accent1 2 2 5 2 3" xfId="6404"/>
    <cellStyle name="40% - Accent1 2 2 5 2 3 2" xfId="6405"/>
    <cellStyle name="40% - Accent1 2 2 5 2 3 3" xfId="22309"/>
    <cellStyle name="40% - Accent1 2 2 5 2 4" xfId="6406"/>
    <cellStyle name="40% - Accent1 2 2 5 2 5" xfId="19722"/>
    <cellStyle name="40% - Accent1 2 2 5 3" xfId="6407"/>
    <cellStyle name="40% - Accent1 2 2 5 3 2" xfId="6408"/>
    <cellStyle name="40% - Accent1 2 2 5 3 2 2" xfId="6409"/>
    <cellStyle name="40% - Accent1 2 2 5 3 2 3" xfId="22954"/>
    <cellStyle name="40% - Accent1 2 2 5 3 3" xfId="6410"/>
    <cellStyle name="40% - Accent1 2 2 5 3 4" xfId="20371"/>
    <cellStyle name="40% - Accent1 2 2 5 4" xfId="6411"/>
    <cellStyle name="40% - Accent1 2 2 5 4 2" xfId="6412"/>
    <cellStyle name="40% - Accent1 2 2 5 4 3" xfId="21664"/>
    <cellStyle name="40% - Accent1 2 2 5 5" xfId="6413"/>
    <cellStyle name="40% - Accent1 2 2 5 6" xfId="19074"/>
    <cellStyle name="40% - Accent1 2 2 6" xfId="6414"/>
    <cellStyle name="40% - Accent1 2 2 6 2" xfId="6415"/>
    <cellStyle name="40% - Accent1 2 2 6 2 2" xfId="6416"/>
    <cellStyle name="40% - Accent1 2 2 6 2 2 2" xfId="6417"/>
    <cellStyle name="40% - Accent1 2 2 6 2 2 3" xfId="23276"/>
    <cellStyle name="40% - Accent1 2 2 6 2 3" xfId="6418"/>
    <cellStyle name="40% - Accent1 2 2 6 2 4" xfId="20693"/>
    <cellStyle name="40% - Accent1 2 2 6 3" xfId="6419"/>
    <cellStyle name="40% - Accent1 2 2 6 3 2" xfId="6420"/>
    <cellStyle name="40% - Accent1 2 2 6 3 3" xfId="21986"/>
    <cellStyle name="40% - Accent1 2 2 6 4" xfId="6421"/>
    <cellStyle name="40% - Accent1 2 2 6 5" xfId="19400"/>
    <cellStyle name="40% - Accent1 2 2 7" xfId="6422"/>
    <cellStyle name="40% - Accent1 2 2 7 2" xfId="6423"/>
    <cellStyle name="40% - Accent1 2 2 7 2 2" xfId="6424"/>
    <cellStyle name="40% - Accent1 2 2 7 2 3" xfId="22631"/>
    <cellStyle name="40% - Accent1 2 2 7 3" xfId="6425"/>
    <cellStyle name="40% - Accent1 2 2 7 4" xfId="20048"/>
    <cellStyle name="40% - Accent1 2 2 8" xfId="6426"/>
    <cellStyle name="40% - Accent1 2 2 8 2" xfId="6427"/>
    <cellStyle name="40% - Accent1 2 2 8 3" xfId="21341"/>
    <cellStyle name="40% - Accent1 2 2 9" xfId="6428"/>
    <cellStyle name="40% - Accent1 2 3" xfId="6429"/>
    <cellStyle name="40% - Accent1 2 3 2" xfId="6430"/>
    <cellStyle name="40% - Accent1 2 3 2 2" xfId="6431"/>
    <cellStyle name="40% - Accent1 2 3 2 2 2" xfId="6432"/>
    <cellStyle name="40% - Accent1 2 3 2 2 2 2" xfId="6433"/>
    <cellStyle name="40% - Accent1 2 3 2 2 2 2 2" xfId="6434"/>
    <cellStyle name="40% - Accent1 2 3 2 2 2 2 2 2" xfId="6435"/>
    <cellStyle name="40% - Accent1 2 3 2 2 2 2 2 2 2" xfId="6436"/>
    <cellStyle name="40% - Accent1 2 3 2 2 2 2 2 2 3" xfId="23860"/>
    <cellStyle name="40% - Accent1 2 3 2 2 2 2 2 3" xfId="6437"/>
    <cellStyle name="40% - Accent1 2 3 2 2 2 2 2 4" xfId="21277"/>
    <cellStyle name="40% - Accent1 2 3 2 2 2 2 3" xfId="6438"/>
    <cellStyle name="40% - Accent1 2 3 2 2 2 2 3 2" xfId="6439"/>
    <cellStyle name="40% - Accent1 2 3 2 2 2 2 3 3" xfId="22570"/>
    <cellStyle name="40% - Accent1 2 3 2 2 2 2 4" xfId="6440"/>
    <cellStyle name="40% - Accent1 2 3 2 2 2 2 5" xfId="19983"/>
    <cellStyle name="40% - Accent1 2 3 2 2 2 3" xfId="6441"/>
    <cellStyle name="40% - Accent1 2 3 2 2 2 3 2" xfId="6442"/>
    <cellStyle name="40% - Accent1 2 3 2 2 2 3 2 2" xfId="6443"/>
    <cellStyle name="40% - Accent1 2 3 2 2 2 3 2 3" xfId="23215"/>
    <cellStyle name="40% - Accent1 2 3 2 2 2 3 3" xfId="6444"/>
    <cellStyle name="40% - Accent1 2 3 2 2 2 3 4" xfId="20632"/>
    <cellStyle name="40% - Accent1 2 3 2 2 2 4" xfId="6445"/>
    <cellStyle name="40% - Accent1 2 3 2 2 2 4 2" xfId="6446"/>
    <cellStyle name="40% - Accent1 2 3 2 2 2 4 3" xfId="21925"/>
    <cellStyle name="40% - Accent1 2 3 2 2 2 5" xfId="6447"/>
    <cellStyle name="40% - Accent1 2 3 2 2 2 6" xfId="19335"/>
    <cellStyle name="40% - Accent1 2 3 2 2 3" xfId="6448"/>
    <cellStyle name="40% - Accent1 2 3 2 2 3 2" xfId="6449"/>
    <cellStyle name="40% - Accent1 2 3 2 2 3 2 2" xfId="6450"/>
    <cellStyle name="40% - Accent1 2 3 2 2 3 2 2 2" xfId="6451"/>
    <cellStyle name="40% - Accent1 2 3 2 2 3 2 2 3" xfId="23538"/>
    <cellStyle name="40% - Accent1 2 3 2 2 3 2 3" xfId="6452"/>
    <cellStyle name="40% - Accent1 2 3 2 2 3 2 4" xfId="20955"/>
    <cellStyle name="40% - Accent1 2 3 2 2 3 3" xfId="6453"/>
    <cellStyle name="40% - Accent1 2 3 2 2 3 3 2" xfId="6454"/>
    <cellStyle name="40% - Accent1 2 3 2 2 3 3 3" xfId="22248"/>
    <cellStyle name="40% - Accent1 2 3 2 2 3 4" xfId="6455"/>
    <cellStyle name="40% - Accent1 2 3 2 2 3 5" xfId="19661"/>
    <cellStyle name="40% - Accent1 2 3 2 2 4" xfId="6456"/>
    <cellStyle name="40% - Accent1 2 3 2 2 4 2" xfId="6457"/>
    <cellStyle name="40% - Accent1 2 3 2 2 4 2 2" xfId="6458"/>
    <cellStyle name="40% - Accent1 2 3 2 2 4 2 3" xfId="22893"/>
    <cellStyle name="40% - Accent1 2 3 2 2 4 3" xfId="6459"/>
    <cellStyle name="40% - Accent1 2 3 2 2 4 4" xfId="20310"/>
    <cellStyle name="40% - Accent1 2 3 2 2 5" xfId="6460"/>
    <cellStyle name="40% - Accent1 2 3 2 2 5 2" xfId="6461"/>
    <cellStyle name="40% - Accent1 2 3 2 2 5 3" xfId="21603"/>
    <cellStyle name="40% - Accent1 2 3 2 2 6" xfId="6462"/>
    <cellStyle name="40% - Accent1 2 3 2 2 7" xfId="19009"/>
    <cellStyle name="40% - Accent1 2 3 2 3" xfId="6463"/>
    <cellStyle name="40% - Accent1 2 3 2 3 2" xfId="6464"/>
    <cellStyle name="40% - Accent1 2 3 2 3 2 2" xfId="6465"/>
    <cellStyle name="40% - Accent1 2 3 2 3 2 2 2" xfId="6466"/>
    <cellStyle name="40% - Accent1 2 3 2 3 2 2 2 2" xfId="6467"/>
    <cellStyle name="40% - Accent1 2 3 2 3 2 2 2 3" xfId="23699"/>
    <cellStyle name="40% - Accent1 2 3 2 3 2 2 3" xfId="6468"/>
    <cellStyle name="40% - Accent1 2 3 2 3 2 2 4" xfId="21116"/>
    <cellStyle name="40% - Accent1 2 3 2 3 2 3" xfId="6469"/>
    <cellStyle name="40% - Accent1 2 3 2 3 2 3 2" xfId="6470"/>
    <cellStyle name="40% - Accent1 2 3 2 3 2 3 3" xfId="22409"/>
    <cellStyle name="40% - Accent1 2 3 2 3 2 4" xfId="6471"/>
    <cellStyle name="40% - Accent1 2 3 2 3 2 5" xfId="19822"/>
    <cellStyle name="40% - Accent1 2 3 2 3 3" xfId="6472"/>
    <cellStyle name="40% - Accent1 2 3 2 3 3 2" xfId="6473"/>
    <cellStyle name="40% - Accent1 2 3 2 3 3 2 2" xfId="6474"/>
    <cellStyle name="40% - Accent1 2 3 2 3 3 2 3" xfId="23054"/>
    <cellStyle name="40% - Accent1 2 3 2 3 3 3" xfId="6475"/>
    <cellStyle name="40% - Accent1 2 3 2 3 3 4" xfId="20471"/>
    <cellStyle name="40% - Accent1 2 3 2 3 4" xfId="6476"/>
    <cellStyle name="40% - Accent1 2 3 2 3 4 2" xfId="6477"/>
    <cellStyle name="40% - Accent1 2 3 2 3 4 3" xfId="21764"/>
    <cellStyle name="40% - Accent1 2 3 2 3 5" xfId="6478"/>
    <cellStyle name="40% - Accent1 2 3 2 3 6" xfId="19174"/>
    <cellStyle name="40% - Accent1 2 3 2 4" xfId="6479"/>
    <cellStyle name="40% - Accent1 2 3 2 4 2" xfId="6480"/>
    <cellStyle name="40% - Accent1 2 3 2 4 2 2" xfId="6481"/>
    <cellStyle name="40% - Accent1 2 3 2 4 2 2 2" xfId="6482"/>
    <cellStyle name="40% - Accent1 2 3 2 4 2 2 3" xfId="23377"/>
    <cellStyle name="40% - Accent1 2 3 2 4 2 3" xfId="6483"/>
    <cellStyle name="40% - Accent1 2 3 2 4 2 4" xfId="20794"/>
    <cellStyle name="40% - Accent1 2 3 2 4 3" xfId="6484"/>
    <cellStyle name="40% - Accent1 2 3 2 4 3 2" xfId="6485"/>
    <cellStyle name="40% - Accent1 2 3 2 4 3 3" xfId="22087"/>
    <cellStyle name="40% - Accent1 2 3 2 4 4" xfId="6486"/>
    <cellStyle name="40% - Accent1 2 3 2 4 5" xfId="19500"/>
    <cellStyle name="40% - Accent1 2 3 2 5" xfId="6487"/>
    <cellStyle name="40% - Accent1 2 3 2 5 2" xfId="6488"/>
    <cellStyle name="40% - Accent1 2 3 2 5 2 2" xfId="6489"/>
    <cellStyle name="40% - Accent1 2 3 2 5 2 3" xfId="22732"/>
    <cellStyle name="40% - Accent1 2 3 2 5 3" xfId="6490"/>
    <cellStyle name="40% - Accent1 2 3 2 5 4" xfId="20149"/>
    <cellStyle name="40% - Accent1 2 3 2 6" xfId="6491"/>
    <cellStyle name="40% - Accent1 2 3 2 6 2" xfId="6492"/>
    <cellStyle name="40% - Accent1 2 3 2 6 3" xfId="21442"/>
    <cellStyle name="40% - Accent1 2 3 2 7" xfId="6493"/>
    <cellStyle name="40% - Accent1 2 3 2 8" xfId="18844"/>
    <cellStyle name="40% - Accent1 2 3 3" xfId="6494"/>
    <cellStyle name="40% - Accent1 2 3 3 2" xfId="6495"/>
    <cellStyle name="40% - Accent1 2 3 3 2 2" xfId="6496"/>
    <cellStyle name="40% - Accent1 2 3 3 2 2 2" xfId="6497"/>
    <cellStyle name="40% - Accent1 2 3 3 2 2 2 2" xfId="6498"/>
    <cellStyle name="40% - Accent1 2 3 3 2 2 2 2 2" xfId="6499"/>
    <cellStyle name="40% - Accent1 2 3 3 2 2 2 2 3" xfId="23780"/>
    <cellStyle name="40% - Accent1 2 3 3 2 2 2 3" xfId="6500"/>
    <cellStyle name="40% - Accent1 2 3 3 2 2 2 4" xfId="21197"/>
    <cellStyle name="40% - Accent1 2 3 3 2 2 3" xfId="6501"/>
    <cellStyle name="40% - Accent1 2 3 3 2 2 3 2" xfId="6502"/>
    <cellStyle name="40% - Accent1 2 3 3 2 2 3 3" xfId="22490"/>
    <cellStyle name="40% - Accent1 2 3 3 2 2 4" xfId="6503"/>
    <cellStyle name="40% - Accent1 2 3 3 2 2 5" xfId="19903"/>
    <cellStyle name="40% - Accent1 2 3 3 2 3" xfId="6504"/>
    <cellStyle name="40% - Accent1 2 3 3 2 3 2" xfId="6505"/>
    <cellStyle name="40% - Accent1 2 3 3 2 3 2 2" xfId="6506"/>
    <cellStyle name="40% - Accent1 2 3 3 2 3 2 3" xfId="23135"/>
    <cellStyle name="40% - Accent1 2 3 3 2 3 3" xfId="6507"/>
    <cellStyle name="40% - Accent1 2 3 3 2 3 4" xfId="20552"/>
    <cellStyle name="40% - Accent1 2 3 3 2 4" xfId="6508"/>
    <cellStyle name="40% - Accent1 2 3 3 2 4 2" xfId="6509"/>
    <cellStyle name="40% - Accent1 2 3 3 2 4 3" xfId="21845"/>
    <cellStyle name="40% - Accent1 2 3 3 2 5" xfId="6510"/>
    <cellStyle name="40% - Accent1 2 3 3 2 6" xfId="19255"/>
    <cellStyle name="40% - Accent1 2 3 3 3" xfId="6511"/>
    <cellStyle name="40% - Accent1 2 3 3 3 2" xfId="6512"/>
    <cellStyle name="40% - Accent1 2 3 3 3 2 2" xfId="6513"/>
    <cellStyle name="40% - Accent1 2 3 3 3 2 2 2" xfId="6514"/>
    <cellStyle name="40% - Accent1 2 3 3 3 2 2 3" xfId="23458"/>
    <cellStyle name="40% - Accent1 2 3 3 3 2 3" xfId="6515"/>
    <cellStyle name="40% - Accent1 2 3 3 3 2 4" xfId="20875"/>
    <cellStyle name="40% - Accent1 2 3 3 3 3" xfId="6516"/>
    <cellStyle name="40% - Accent1 2 3 3 3 3 2" xfId="6517"/>
    <cellStyle name="40% - Accent1 2 3 3 3 3 3" xfId="22168"/>
    <cellStyle name="40% - Accent1 2 3 3 3 4" xfId="6518"/>
    <cellStyle name="40% - Accent1 2 3 3 3 5" xfId="19581"/>
    <cellStyle name="40% - Accent1 2 3 3 4" xfId="6519"/>
    <cellStyle name="40% - Accent1 2 3 3 4 2" xfId="6520"/>
    <cellStyle name="40% - Accent1 2 3 3 4 2 2" xfId="6521"/>
    <cellStyle name="40% - Accent1 2 3 3 4 2 3" xfId="22813"/>
    <cellStyle name="40% - Accent1 2 3 3 4 3" xfId="6522"/>
    <cellStyle name="40% - Accent1 2 3 3 4 4" xfId="20230"/>
    <cellStyle name="40% - Accent1 2 3 3 5" xfId="6523"/>
    <cellStyle name="40% - Accent1 2 3 3 5 2" xfId="6524"/>
    <cellStyle name="40% - Accent1 2 3 3 5 3" xfId="21523"/>
    <cellStyle name="40% - Accent1 2 3 3 6" xfId="6525"/>
    <cellStyle name="40% - Accent1 2 3 3 7" xfId="18929"/>
    <cellStyle name="40% - Accent1 2 3 4" xfId="6526"/>
    <cellStyle name="40% - Accent1 2 3 4 2" xfId="6527"/>
    <cellStyle name="40% - Accent1 2 3 4 2 2" xfId="6528"/>
    <cellStyle name="40% - Accent1 2 3 4 2 2 2" xfId="6529"/>
    <cellStyle name="40% - Accent1 2 3 4 2 2 2 2" xfId="6530"/>
    <cellStyle name="40% - Accent1 2 3 4 2 2 2 3" xfId="23619"/>
    <cellStyle name="40% - Accent1 2 3 4 2 2 3" xfId="6531"/>
    <cellStyle name="40% - Accent1 2 3 4 2 2 4" xfId="21036"/>
    <cellStyle name="40% - Accent1 2 3 4 2 3" xfId="6532"/>
    <cellStyle name="40% - Accent1 2 3 4 2 3 2" xfId="6533"/>
    <cellStyle name="40% - Accent1 2 3 4 2 3 3" xfId="22329"/>
    <cellStyle name="40% - Accent1 2 3 4 2 4" xfId="6534"/>
    <cellStyle name="40% - Accent1 2 3 4 2 5" xfId="19742"/>
    <cellStyle name="40% - Accent1 2 3 4 3" xfId="6535"/>
    <cellStyle name="40% - Accent1 2 3 4 3 2" xfId="6536"/>
    <cellStyle name="40% - Accent1 2 3 4 3 2 2" xfId="6537"/>
    <cellStyle name="40% - Accent1 2 3 4 3 2 3" xfId="22974"/>
    <cellStyle name="40% - Accent1 2 3 4 3 3" xfId="6538"/>
    <cellStyle name="40% - Accent1 2 3 4 3 4" xfId="20391"/>
    <cellStyle name="40% - Accent1 2 3 4 4" xfId="6539"/>
    <cellStyle name="40% - Accent1 2 3 4 4 2" xfId="6540"/>
    <cellStyle name="40% - Accent1 2 3 4 4 3" xfId="21684"/>
    <cellStyle name="40% - Accent1 2 3 4 5" xfId="6541"/>
    <cellStyle name="40% - Accent1 2 3 4 6" xfId="19094"/>
    <cellStyle name="40% - Accent1 2 3 5" xfId="6542"/>
    <cellStyle name="40% - Accent1 2 3 5 2" xfId="6543"/>
    <cellStyle name="40% - Accent1 2 3 5 2 2" xfId="6544"/>
    <cellStyle name="40% - Accent1 2 3 5 2 2 2" xfId="6545"/>
    <cellStyle name="40% - Accent1 2 3 5 2 2 3" xfId="23296"/>
    <cellStyle name="40% - Accent1 2 3 5 2 3" xfId="6546"/>
    <cellStyle name="40% - Accent1 2 3 5 2 4" xfId="20713"/>
    <cellStyle name="40% - Accent1 2 3 5 3" xfId="6547"/>
    <cellStyle name="40% - Accent1 2 3 5 3 2" xfId="6548"/>
    <cellStyle name="40% - Accent1 2 3 5 3 3" xfId="22006"/>
    <cellStyle name="40% - Accent1 2 3 5 4" xfId="6549"/>
    <cellStyle name="40% - Accent1 2 3 5 5" xfId="19420"/>
    <cellStyle name="40% - Accent1 2 3 6" xfId="6550"/>
    <cellStyle name="40% - Accent1 2 3 6 2" xfId="6551"/>
    <cellStyle name="40% - Accent1 2 3 6 2 2" xfId="6552"/>
    <cellStyle name="40% - Accent1 2 3 6 2 3" xfId="22651"/>
    <cellStyle name="40% - Accent1 2 3 6 3" xfId="6553"/>
    <cellStyle name="40% - Accent1 2 3 6 4" xfId="20068"/>
    <cellStyle name="40% - Accent1 2 3 7" xfId="6554"/>
    <cellStyle name="40% - Accent1 2 3 7 2" xfId="6555"/>
    <cellStyle name="40% - Accent1 2 3 7 3" xfId="21361"/>
    <cellStyle name="40% - Accent1 2 3 8" xfId="6556"/>
    <cellStyle name="40% - Accent1 2 3 9" xfId="18747"/>
    <cellStyle name="40% - Accent1 2 4" xfId="6557"/>
    <cellStyle name="40% - Accent1 2 4 2" xfId="6558"/>
    <cellStyle name="40% - Accent1 2 4 2 2" xfId="6559"/>
    <cellStyle name="40% - Accent1 2 4 2 2 2" xfId="6560"/>
    <cellStyle name="40% - Accent1 2 4 2 2 2 2" xfId="6561"/>
    <cellStyle name="40% - Accent1 2 4 2 2 2 2 2" xfId="6562"/>
    <cellStyle name="40% - Accent1 2 4 2 2 2 2 2 2" xfId="6563"/>
    <cellStyle name="40% - Accent1 2 4 2 2 2 2 2 3" xfId="23820"/>
    <cellStyle name="40% - Accent1 2 4 2 2 2 2 3" xfId="6564"/>
    <cellStyle name="40% - Accent1 2 4 2 2 2 2 4" xfId="21237"/>
    <cellStyle name="40% - Accent1 2 4 2 2 2 3" xfId="6565"/>
    <cellStyle name="40% - Accent1 2 4 2 2 2 3 2" xfId="6566"/>
    <cellStyle name="40% - Accent1 2 4 2 2 2 3 3" xfId="22530"/>
    <cellStyle name="40% - Accent1 2 4 2 2 2 4" xfId="6567"/>
    <cellStyle name="40% - Accent1 2 4 2 2 2 5" xfId="19943"/>
    <cellStyle name="40% - Accent1 2 4 2 2 3" xfId="6568"/>
    <cellStyle name="40% - Accent1 2 4 2 2 3 2" xfId="6569"/>
    <cellStyle name="40% - Accent1 2 4 2 2 3 2 2" xfId="6570"/>
    <cellStyle name="40% - Accent1 2 4 2 2 3 2 3" xfId="23175"/>
    <cellStyle name="40% - Accent1 2 4 2 2 3 3" xfId="6571"/>
    <cellStyle name="40% - Accent1 2 4 2 2 3 4" xfId="20592"/>
    <cellStyle name="40% - Accent1 2 4 2 2 4" xfId="6572"/>
    <cellStyle name="40% - Accent1 2 4 2 2 4 2" xfId="6573"/>
    <cellStyle name="40% - Accent1 2 4 2 2 4 3" xfId="21885"/>
    <cellStyle name="40% - Accent1 2 4 2 2 5" xfId="6574"/>
    <cellStyle name="40% - Accent1 2 4 2 2 6" xfId="19295"/>
    <cellStyle name="40% - Accent1 2 4 2 3" xfId="6575"/>
    <cellStyle name="40% - Accent1 2 4 2 3 2" xfId="6576"/>
    <cellStyle name="40% - Accent1 2 4 2 3 2 2" xfId="6577"/>
    <cellStyle name="40% - Accent1 2 4 2 3 2 2 2" xfId="6578"/>
    <cellStyle name="40% - Accent1 2 4 2 3 2 2 3" xfId="23498"/>
    <cellStyle name="40% - Accent1 2 4 2 3 2 3" xfId="6579"/>
    <cellStyle name="40% - Accent1 2 4 2 3 2 4" xfId="20915"/>
    <cellStyle name="40% - Accent1 2 4 2 3 3" xfId="6580"/>
    <cellStyle name="40% - Accent1 2 4 2 3 3 2" xfId="6581"/>
    <cellStyle name="40% - Accent1 2 4 2 3 3 3" xfId="22208"/>
    <cellStyle name="40% - Accent1 2 4 2 3 4" xfId="6582"/>
    <cellStyle name="40% - Accent1 2 4 2 3 5" xfId="19621"/>
    <cellStyle name="40% - Accent1 2 4 2 4" xfId="6583"/>
    <cellStyle name="40% - Accent1 2 4 2 4 2" xfId="6584"/>
    <cellStyle name="40% - Accent1 2 4 2 4 2 2" xfId="6585"/>
    <cellStyle name="40% - Accent1 2 4 2 4 2 3" xfId="22853"/>
    <cellStyle name="40% - Accent1 2 4 2 4 3" xfId="6586"/>
    <cellStyle name="40% - Accent1 2 4 2 4 4" xfId="20270"/>
    <cellStyle name="40% - Accent1 2 4 2 5" xfId="6587"/>
    <cellStyle name="40% - Accent1 2 4 2 5 2" xfId="6588"/>
    <cellStyle name="40% - Accent1 2 4 2 5 3" xfId="21563"/>
    <cellStyle name="40% - Accent1 2 4 2 6" xfId="6589"/>
    <cellStyle name="40% - Accent1 2 4 2 7" xfId="18969"/>
    <cellStyle name="40% - Accent1 2 4 3" xfId="6590"/>
    <cellStyle name="40% - Accent1 2 4 3 2" xfId="6591"/>
    <cellStyle name="40% - Accent1 2 4 3 2 2" xfId="6592"/>
    <cellStyle name="40% - Accent1 2 4 3 2 2 2" xfId="6593"/>
    <cellStyle name="40% - Accent1 2 4 3 2 2 2 2" xfId="6594"/>
    <cellStyle name="40% - Accent1 2 4 3 2 2 2 3" xfId="23659"/>
    <cellStyle name="40% - Accent1 2 4 3 2 2 3" xfId="6595"/>
    <cellStyle name="40% - Accent1 2 4 3 2 2 4" xfId="21076"/>
    <cellStyle name="40% - Accent1 2 4 3 2 3" xfId="6596"/>
    <cellStyle name="40% - Accent1 2 4 3 2 3 2" xfId="6597"/>
    <cellStyle name="40% - Accent1 2 4 3 2 3 3" xfId="22369"/>
    <cellStyle name="40% - Accent1 2 4 3 2 4" xfId="6598"/>
    <cellStyle name="40% - Accent1 2 4 3 2 5" xfId="19782"/>
    <cellStyle name="40% - Accent1 2 4 3 3" xfId="6599"/>
    <cellStyle name="40% - Accent1 2 4 3 3 2" xfId="6600"/>
    <cellStyle name="40% - Accent1 2 4 3 3 2 2" xfId="6601"/>
    <cellStyle name="40% - Accent1 2 4 3 3 2 3" xfId="23014"/>
    <cellStyle name="40% - Accent1 2 4 3 3 3" xfId="6602"/>
    <cellStyle name="40% - Accent1 2 4 3 3 4" xfId="20431"/>
    <cellStyle name="40% - Accent1 2 4 3 4" xfId="6603"/>
    <cellStyle name="40% - Accent1 2 4 3 4 2" xfId="6604"/>
    <cellStyle name="40% - Accent1 2 4 3 4 3" xfId="21724"/>
    <cellStyle name="40% - Accent1 2 4 3 5" xfId="6605"/>
    <cellStyle name="40% - Accent1 2 4 3 6" xfId="19134"/>
    <cellStyle name="40% - Accent1 2 4 4" xfId="6606"/>
    <cellStyle name="40% - Accent1 2 4 4 2" xfId="6607"/>
    <cellStyle name="40% - Accent1 2 4 4 2 2" xfId="6608"/>
    <cellStyle name="40% - Accent1 2 4 4 2 2 2" xfId="6609"/>
    <cellStyle name="40% - Accent1 2 4 4 2 2 3" xfId="23337"/>
    <cellStyle name="40% - Accent1 2 4 4 2 3" xfId="6610"/>
    <cellStyle name="40% - Accent1 2 4 4 2 4" xfId="20754"/>
    <cellStyle name="40% - Accent1 2 4 4 3" xfId="6611"/>
    <cellStyle name="40% - Accent1 2 4 4 3 2" xfId="6612"/>
    <cellStyle name="40% - Accent1 2 4 4 3 3" xfId="22047"/>
    <cellStyle name="40% - Accent1 2 4 4 4" xfId="6613"/>
    <cellStyle name="40% - Accent1 2 4 4 5" xfId="19460"/>
    <cellStyle name="40% - Accent1 2 4 5" xfId="6614"/>
    <cellStyle name="40% - Accent1 2 4 5 2" xfId="6615"/>
    <cellStyle name="40% - Accent1 2 4 5 2 2" xfId="6616"/>
    <cellStyle name="40% - Accent1 2 4 5 2 3" xfId="22692"/>
    <cellStyle name="40% - Accent1 2 4 5 3" xfId="6617"/>
    <cellStyle name="40% - Accent1 2 4 5 4" xfId="20109"/>
    <cellStyle name="40% - Accent1 2 4 6" xfId="6618"/>
    <cellStyle name="40% - Accent1 2 4 6 2" xfId="6619"/>
    <cellStyle name="40% - Accent1 2 4 6 3" xfId="21402"/>
    <cellStyle name="40% - Accent1 2 4 7" xfId="6620"/>
    <cellStyle name="40% - Accent1 2 4 8" xfId="18801"/>
    <cellStyle name="40% - Accent1 2 5" xfId="6621"/>
    <cellStyle name="40% - Accent1 2 5 2" xfId="6622"/>
    <cellStyle name="40% - Accent1 2 5 2 2" xfId="6623"/>
    <cellStyle name="40% - Accent1 2 5 2 2 2" xfId="6624"/>
    <cellStyle name="40% - Accent1 2 5 2 2 2 2" xfId="6625"/>
    <cellStyle name="40% - Accent1 2 5 2 2 2 2 2" xfId="6626"/>
    <cellStyle name="40% - Accent1 2 5 2 2 2 2 3" xfId="23740"/>
    <cellStyle name="40% - Accent1 2 5 2 2 2 3" xfId="6627"/>
    <cellStyle name="40% - Accent1 2 5 2 2 2 4" xfId="21157"/>
    <cellStyle name="40% - Accent1 2 5 2 2 3" xfId="6628"/>
    <cellStyle name="40% - Accent1 2 5 2 2 3 2" xfId="6629"/>
    <cellStyle name="40% - Accent1 2 5 2 2 3 3" xfId="22450"/>
    <cellStyle name="40% - Accent1 2 5 2 2 4" xfId="6630"/>
    <cellStyle name="40% - Accent1 2 5 2 2 5" xfId="19863"/>
    <cellStyle name="40% - Accent1 2 5 2 3" xfId="6631"/>
    <cellStyle name="40% - Accent1 2 5 2 3 2" xfId="6632"/>
    <cellStyle name="40% - Accent1 2 5 2 3 2 2" xfId="6633"/>
    <cellStyle name="40% - Accent1 2 5 2 3 2 3" xfId="23095"/>
    <cellStyle name="40% - Accent1 2 5 2 3 3" xfId="6634"/>
    <cellStyle name="40% - Accent1 2 5 2 3 4" xfId="20512"/>
    <cellStyle name="40% - Accent1 2 5 2 4" xfId="6635"/>
    <cellStyle name="40% - Accent1 2 5 2 4 2" xfId="6636"/>
    <cellStyle name="40% - Accent1 2 5 2 4 3" xfId="21805"/>
    <cellStyle name="40% - Accent1 2 5 2 5" xfId="6637"/>
    <cellStyle name="40% - Accent1 2 5 2 6" xfId="19215"/>
    <cellStyle name="40% - Accent1 2 5 3" xfId="6638"/>
    <cellStyle name="40% - Accent1 2 5 3 2" xfId="6639"/>
    <cellStyle name="40% - Accent1 2 5 3 2 2" xfId="6640"/>
    <cellStyle name="40% - Accent1 2 5 3 2 2 2" xfId="6641"/>
    <cellStyle name="40% - Accent1 2 5 3 2 2 3" xfId="23418"/>
    <cellStyle name="40% - Accent1 2 5 3 2 3" xfId="6642"/>
    <cellStyle name="40% - Accent1 2 5 3 2 4" xfId="20835"/>
    <cellStyle name="40% - Accent1 2 5 3 3" xfId="6643"/>
    <cellStyle name="40% - Accent1 2 5 3 3 2" xfId="6644"/>
    <cellStyle name="40% - Accent1 2 5 3 3 3" xfId="22128"/>
    <cellStyle name="40% - Accent1 2 5 3 4" xfId="6645"/>
    <cellStyle name="40% - Accent1 2 5 3 5" xfId="19541"/>
    <cellStyle name="40% - Accent1 2 5 4" xfId="6646"/>
    <cellStyle name="40% - Accent1 2 5 4 2" xfId="6647"/>
    <cellStyle name="40% - Accent1 2 5 4 2 2" xfId="6648"/>
    <cellStyle name="40% - Accent1 2 5 4 2 3" xfId="22773"/>
    <cellStyle name="40% - Accent1 2 5 4 3" xfId="6649"/>
    <cellStyle name="40% - Accent1 2 5 4 4" xfId="20190"/>
    <cellStyle name="40% - Accent1 2 5 5" xfId="6650"/>
    <cellStyle name="40% - Accent1 2 5 5 2" xfId="6651"/>
    <cellStyle name="40% - Accent1 2 5 5 3" xfId="21483"/>
    <cellStyle name="40% - Accent1 2 5 6" xfId="6652"/>
    <cellStyle name="40% - Accent1 2 5 7" xfId="18889"/>
    <cellStyle name="40% - Accent1 2 6" xfId="6653"/>
    <cellStyle name="40% - Accent1 2 6 2" xfId="6654"/>
    <cellStyle name="40% - Accent1 2 6 2 2" xfId="6655"/>
    <cellStyle name="40% - Accent1 2 6 2 2 2" xfId="6656"/>
    <cellStyle name="40% - Accent1 2 6 2 2 2 2" xfId="6657"/>
    <cellStyle name="40% - Accent1 2 6 2 2 2 3" xfId="23579"/>
    <cellStyle name="40% - Accent1 2 6 2 2 3" xfId="6658"/>
    <cellStyle name="40% - Accent1 2 6 2 2 4" xfId="20996"/>
    <cellStyle name="40% - Accent1 2 6 2 3" xfId="6659"/>
    <cellStyle name="40% - Accent1 2 6 2 3 2" xfId="6660"/>
    <cellStyle name="40% - Accent1 2 6 2 3 3" xfId="22289"/>
    <cellStyle name="40% - Accent1 2 6 2 4" xfId="6661"/>
    <cellStyle name="40% - Accent1 2 6 2 5" xfId="19702"/>
    <cellStyle name="40% - Accent1 2 6 3" xfId="6662"/>
    <cellStyle name="40% - Accent1 2 6 3 2" xfId="6663"/>
    <cellStyle name="40% - Accent1 2 6 3 2 2" xfId="6664"/>
    <cellStyle name="40% - Accent1 2 6 3 2 3" xfId="22934"/>
    <cellStyle name="40% - Accent1 2 6 3 3" xfId="6665"/>
    <cellStyle name="40% - Accent1 2 6 3 4" xfId="20351"/>
    <cellStyle name="40% - Accent1 2 6 4" xfId="6666"/>
    <cellStyle name="40% - Accent1 2 6 4 2" xfId="6667"/>
    <cellStyle name="40% - Accent1 2 6 4 3" xfId="21644"/>
    <cellStyle name="40% - Accent1 2 6 5" xfId="6668"/>
    <cellStyle name="40% - Accent1 2 6 6" xfId="19054"/>
    <cellStyle name="40% - Accent1 2 7" xfId="6669"/>
    <cellStyle name="40% - Accent1 2 7 2" xfId="6670"/>
    <cellStyle name="40% - Accent1 2 7 2 2" xfId="6671"/>
    <cellStyle name="40% - Accent1 2 7 2 2 2" xfId="6672"/>
    <cellStyle name="40% - Accent1 2 7 2 2 3" xfId="23256"/>
    <cellStyle name="40% - Accent1 2 7 2 3" xfId="6673"/>
    <cellStyle name="40% - Accent1 2 7 2 4" xfId="20673"/>
    <cellStyle name="40% - Accent1 2 7 3" xfId="6674"/>
    <cellStyle name="40% - Accent1 2 7 3 2" xfId="6675"/>
    <cellStyle name="40% - Accent1 2 7 3 3" xfId="21966"/>
    <cellStyle name="40% - Accent1 2 7 4" xfId="6676"/>
    <cellStyle name="40% - Accent1 2 7 5" xfId="19380"/>
    <cellStyle name="40% - Accent1 2 8" xfId="6677"/>
    <cellStyle name="40% - Accent1 2 8 2" xfId="6678"/>
    <cellStyle name="40% - Accent1 2 8 2 2" xfId="6679"/>
    <cellStyle name="40% - Accent1 2 8 2 3" xfId="22611"/>
    <cellStyle name="40% - Accent1 2 8 3" xfId="6680"/>
    <cellStyle name="40% - Accent1 2 8 4" xfId="20028"/>
    <cellStyle name="40% - Accent1 2 9" xfId="6681"/>
    <cellStyle name="40% - Accent1 2 9 2" xfId="6682"/>
    <cellStyle name="40% - Accent1 2 9 3" xfId="21321"/>
    <cellStyle name="40% - Accent1 3" xfId="6683"/>
    <cellStyle name="40% - Accent1 3 10" xfId="18709"/>
    <cellStyle name="40% - Accent1 3 2" xfId="6684"/>
    <cellStyle name="40% - Accent1 3 2 2" xfId="6685"/>
    <cellStyle name="40% - Accent1 3 2 2 2" xfId="6686"/>
    <cellStyle name="40% - Accent1 3 2 2 2 2" xfId="6687"/>
    <cellStyle name="40% - Accent1 3 2 2 2 2 2" xfId="6688"/>
    <cellStyle name="40% - Accent1 3 2 2 2 2 2 2" xfId="6689"/>
    <cellStyle name="40% - Accent1 3 2 2 2 2 2 2 2" xfId="6690"/>
    <cellStyle name="40% - Accent1 3 2 2 2 2 2 2 2 2" xfId="6691"/>
    <cellStyle name="40% - Accent1 3 2 2 2 2 2 2 2 3" xfId="23870"/>
    <cellStyle name="40% - Accent1 3 2 2 2 2 2 2 3" xfId="6692"/>
    <cellStyle name="40% - Accent1 3 2 2 2 2 2 2 4" xfId="21287"/>
    <cellStyle name="40% - Accent1 3 2 2 2 2 2 3" xfId="6693"/>
    <cellStyle name="40% - Accent1 3 2 2 2 2 2 3 2" xfId="6694"/>
    <cellStyle name="40% - Accent1 3 2 2 2 2 2 3 3" xfId="22580"/>
    <cellStyle name="40% - Accent1 3 2 2 2 2 2 4" xfId="6695"/>
    <cellStyle name="40% - Accent1 3 2 2 2 2 2 5" xfId="19993"/>
    <cellStyle name="40% - Accent1 3 2 2 2 2 3" xfId="6696"/>
    <cellStyle name="40% - Accent1 3 2 2 2 2 3 2" xfId="6697"/>
    <cellStyle name="40% - Accent1 3 2 2 2 2 3 2 2" xfId="6698"/>
    <cellStyle name="40% - Accent1 3 2 2 2 2 3 2 3" xfId="23225"/>
    <cellStyle name="40% - Accent1 3 2 2 2 2 3 3" xfId="6699"/>
    <cellStyle name="40% - Accent1 3 2 2 2 2 3 4" xfId="20642"/>
    <cellStyle name="40% - Accent1 3 2 2 2 2 4" xfId="6700"/>
    <cellStyle name="40% - Accent1 3 2 2 2 2 4 2" xfId="6701"/>
    <cellStyle name="40% - Accent1 3 2 2 2 2 4 3" xfId="21935"/>
    <cellStyle name="40% - Accent1 3 2 2 2 2 5" xfId="6702"/>
    <cellStyle name="40% - Accent1 3 2 2 2 2 6" xfId="19345"/>
    <cellStyle name="40% - Accent1 3 2 2 2 3" xfId="6703"/>
    <cellStyle name="40% - Accent1 3 2 2 2 3 2" xfId="6704"/>
    <cellStyle name="40% - Accent1 3 2 2 2 3 2 2" xfId="6705"/>
    <cellStyle name="40% - Accent1 3 2 2 2 3 2 2 2" xfId="6706"/>
    <cellStyle name="40% - Accent1 3 2 2 2 3 2 2 3" xfId="23548"/>
    <cellStyle name="40% - Accent1 3 2 2 2 3 2 3" xfId="6707"/>
    <cellStyle name="40% - Accent1 3 2 2 2 3 2 4" xfId="20965"/>
    <cellStyle name="40% - Accent1 3 2 2 2 3 3" xfId="6708"/>
    <cellStyle name="40% - Accent1 3 2 2 2 3 3 2" xfId="6709"/>
    <cellStyle name="40% - Accent1 3 2 2 2 3 3 3" xfId="22258"/>
    <cellStyle name="40% - Accent1 3 2 2 2 3 4" xfId="6710"/>
    <cellStyle name="40% - Accent1 3 2 2 2 3 5" xfId="19671"/>
    <cellStyle name="40% - Accent1 3 2 2 2 4" xfId="6711"/>
    <cellStyle name="40% - Accent1 3 2 2 2 4 2" xfId="6712"/>
    <cellStyle name="40% - Accent1 3 2 2 2 4 2 2" xfId="6713"/>
    <cellStyle name="40% - Accent1 3 2 2 2 4 2 3" xfId="22903"/>
    <cellStyle name="40% - Accent1 3 2 2 2 4 3" xfId="6714"/>
    <cellStyle name="40% - Accent1 3 2 2 2 4 4" xfId="20320"/>
    <cellStyle name="40% - Accent1 3 2 2 2 5" xfId="6715"/>
    <cellStyle name="40% - Accent1 3 2 2 2 5 2" xfId="6716"/>
    <cellStyle name="40% - Accent1 3 2 2 2 5 3" xfId="21613"/>
    <cellStyle name="40% - Accent1 3 2 2 2 6" xfId="6717"/>
    <cellStyle name="40% - Accent1 3 2 2 2 7" xfId="19019"/>
    <cellStyle name="40% - Accent1 3 2 2 3" xfId="6718"/>
    <cellStyle name="40% - Accent1 3 2 2 3 2" xfId="6719"/>
    <cellStyle name="40% - Accent1 3 2 2 3 2 2" xfId="6720"/>
    <cellStyle name="40% - Accent1 3 2 2 3 2 2 2" xfId="6721"/>
    <cellStyle name="40% - Accent1 3 2 2 3 2 2 2 2" xfId="6722"/>
    <cellStyle name="40% - Accent1 3 2 2 3 2 2 2 3" xfId="23709"/>
    <cellStyle name="40% - Accent1 3 2 2 3 2 2 3" xfId="6723"/>
    <cellStyle name="40% - Accent1 3 2 2 3 2 2 4" xfId="21126"/>
    <cellStyle name="40% - Accent1 3 2 2 3 2 3" xfId="6724"/>
    <cellStyle name="40% - Accent1 3 2 2 3 2 3 2" xfId="6725"/>
    <cellStyle name="40% - Accent1 3 2 2 3 2 3 3" xfId="22419"/>
    <cellStyle name="40% - Accent1 3 2 2 3 2 4" xfId="6726"/>
    <cellStyle name="40% - Accent1 3 2 2 3 2 5" xfId="19832"/>
    <cellStyle name="40% - Accent1 3 2 2 3 3" xfId="6727"/>
    <cellStyle name="40% - Accent1 3 2 2 3 3 2" xfId="6728"/>
    <cellStyle name="40% - Accent1 3 2 2 3 3 2 2" xfId="6729"/>
    <cellStyle name="40% - Accent1 3 2 2 3 3 2 3" xfId="23064"/>
    <cellStyle name="40% - Accent1 3 2 2 3 3 3" xfId="6730"/>
    <cellStyle name="40% - Accent1 3 2 2 3 3 4" xfId="20481"/>
    <cellStyle name="40% - Accent1 3 2 2 3 4" xfId="6731"/>
    <cellStyle name="40% - Accent1 3 2 2 3 4 2" xfId="6732"/>
    <cellStyle name="40% - Accent1 3 2 2 3 4 3" xfId="21774"/>
    <cellStyle name="40% - Accent1 3 2 2 3 5" xfId="6733"/>
    <cellStyle name="40% - Accent1 3 2 2 3 6" xfId="19184"/>
    <cellStyle name="40% - Accent1 3 2 2 4" xfId="6734"/>
    <cellStyle name="40% - Accent1 3 2 2 4 2" xfId="6735"/>
    <cellStyle name="40% - Accent1 3 2 2 4 2 2" xfId="6736"/>
    <cellStyle name="40% - Accent1 3 2 2 4 2 2 2" xfId="6737"/>
    <cellStyle name="40% - Accent1 3 2 2 4 2 2 3" xfId="23387"/>
    <cellStyle name="40% - Accent1 3 2 2 4 2 3" xfId="6738"/>
    <cellStyle name="40% - Accent1 3 2 2 4 2 4" xfId="20804"/>
    <cellStyle name="40% - Accent1 3 2 2 4 3" xfId="6739"/>
    <cellStyle name="40% - Accent1 3 2 2 4 3 2" xfId="6740"/>
    <cellStyle name="40% - Accent1 3 2 2 4 3 3" xfId="22097"/>
    <cellStyle name="40% - Accent1 3 2 2 4 4" xfId="6741"/>
    <cellStyle name="40% - Accent1 3 2 2 4 5" xfId="19510"/>
    <cellStyle name="40% - Accent1 3 2 2 5" xfId="6742"/>
    <cellStyle name="40% - Accent1 3 2 2 5 2" xfId="6743"/>
    <cellStyle name="40% - Accent1 3 2 2 5 2 2" xfId="6744"/>
    <cellStyle name="40% - Accent1 3 2 2 5 2 3" xfId="22742"/>
    <cellStyle name="40% - Accent1 3 2 2 5 3" xfId="6745"/>
    <cellStyle name="40% - Accent1 3 2 2 5 4" xfId="20159"/>
    <cellStyle name="40% - Accent1 3 2 2 6" xfId="6746"/>
    <cellStyle name="40% - Accent1 3 2 2 6 2" xfId="6747"/>
    <cellStyle name="40% - Accent1 3 2 2 6 3" xfId="21452"/>
    <cellStyle name="40% - Accent1 3 2 2 7" xfId="6748"/>
    <cellStyle name="40% - Accent1 3 2 2 8" xfId="18854"/>
    <cellStyle name="40% - Accent1 3 2 3" xfId="6749"/>
    <cellStyle name="40% - Accent1 3 2 3 2" xfId="6750"/>
    <cellStyle name="40% - Accent1 3 2 3 2 2" xfId="6751"/>
    <cellStyle name="40% - Accent1 3 2 3 2 2 2" xfId="6752"/>
    <cellStyle name="40% - Accent1 3 2 3 2 2 2 2" xfId="6753"/>
    <cellStyle name="40% - Accent1 3 2 3 2 2 2 2 2" xfId="6754"/>
    <cellStyle name="40% - Accent1 3 2 3 2 2 2 2 3" xfId="23790"/>
    <cellStyle name="40% - Accent1 3 2 3 2 2 2 3" xfId="6755"/>
    <cellStyle name="40% - Accent1 3 2 3 2 2 2 4" xfId="21207"/>
    <cellStyle name="40% - Accent1 3 2 3 2 2 3" xfId="6756"/>
    <cellStyle name="40% - Accent1 3 2 3 2 2 3 2" xfId="6757"/>
    <cellStyle name="40% - Accent1 3 2 3 2 2 3 3" xfId="22500"/>
    <cellStyle name="40% - Accent1 3 2 3 2 2 4" xfId="6758"/>
    <cellStyle name="40% - Accent1 3 2 3 2 2 5" xfId="19913"/>
    <cellStyle name="40% - Accent1 3 2 3 2 3" xfId="6759"/>
    <cellStyle name="40% - Accent1 3 2 3 2 3 2" xfId="6760"/>
    <cellStyle name="40% - Accent1 3 2 3 2 3 2 2" xfId="6761"/>
    <cellStyle name="40% - Accent1 3 2 3 2 3 2 3" xfId="23145"/>
    <cellStyle name="40% - Accent1 3 2 3 2 3 3" xfId="6762"/>
    <cellStyle name="40% - Accent1 3 2 3 2 3 4" xfId="20562"/>
    <cellStyle name="40% - Accent1 3 2 3 2 4" xfId="6763"/>
    <cellStyle name="40% - Accent1 3 2 3 2 4 2" xfId="6764"/>
    <cellStyle name="40% - Accent1 3 2 3 2 4 3" xfId="21855"/>
    <cellStyle name="40% - Accent1 3 2 3 2 5" xfId="6765"/>
    <cellStyle name="40% - Accent1 3 2 3 2 6" xfId="19265"/>
    <cellStyle name="40% - Accent1 3 2 3 3" xfId="6766"/>
    <cellStyle name="40% - Accent1 3 2 3 3 2" xfId="6767"/>
    <cellStyle name="40% - Accent1 3 2 3 3 2 2" xfId="6768"/>
    <cellStyle name="40% - Accent1 3 2 3 3 2 2 2" xfId="6769"/>
    <cellStyle name="40% - Accent1 3 2 3 3 2 2 3" xfId="23468"/>
    <cellStyle name="40% - Accent1 3 2 3 3 2 3" xfId="6770"/>
    <cellStyle name="40% - Accent1 3 2 3 3 2 4" xfId="20885"/>
    <cellStyle name="40% - Accent1 3 2 3 3 3" xfId="6771"/>
    <cellStyle name="40% - Accent1 3 2 3 3 3 2" xfId="6772"/>
    <cellStyle name="40% - Accent1 3 2 3 3 3 3" xfId="22178"/>
    <cellStyle name="40% - Accent1 3 2 3 3 4" xfId="6773"/>
    <cellStyle name="40% - Accent1 3 2 3 3 5" xfId="19591"/>
    <cellStyle name="40% - Accent1 3 2 3 4" xfId="6774"/>
    <cellStyle name="40% - Accent1 3 2 3 4 2" xfId="6775"/>
    <cellStyle name="40% - Accent1 3 2 3 4 2 2" xfId="6776"/>
    <cellStyle name="40% - Accent1 3 2 3 4 2 3" xfId="22823"/>
    <cellStyle name="40% - Accent1 3 2 3 4 3" xfId="6777"/>
    <cellStyle name="40% - Accent1 3 2 3 4 4" xfId="20240"/>
    <cellStyle name="40% - Accent1 3 2 3 5" xfId="6778"/>
    <cellStyle name="40% - Accent1 3 2 3 5 2" xfId="6779"/>
    <cellStyle name="40% - Accent1 3 2 3 5 3" xfId="21533"/>
    <cellStyle name="40% - Accent1 3 2 3 6" xfId="6780"/>
    <cellStyle name="40% - Accent1 3 2 3 7" xfId="18939"/>
    <cellStyle name="40% - Accent1 3 2 4" xfId="6781"/>
    <cellStyle name="40% - Accent1 3 2 4 2" xfId="6782"/>
    <cellStyle name="40% - Accent1 3 2 4 2 2" xfId="6783"/>
    <cellStyle name="40% - Accent1 3 2 4 2 2 2" xfId="6784"/>
    <cellStyle name="40% - Accent1 3 2 4 2 2 2 2" xfId="6785"/>
    <cellStyle name="40% - Accent1 3 2 4 2 2 2 3" xfId="23629"/>
    <cellStyle name="40% - Accent1 3 2 4 2 2 3" xfId="6786"/>
    <cellStyle name="40% - Accent1 3 2 4 2 2 4" xfId="21046"/>
    <cellStyle name="40% - Accent1 3 2 4 2 3" xfId="6787"/>
    <cellStyle name="40% - Accent1 3 2 4 2 3 2" xfId="6788"/>
    <cellStyle name="40% - Accent1 3 2 4 2 3 3" xfId="22339"/>
    <cellStyle name="40% - Accent1 3 2 4 2 4" xfId="6789"/>
    <cellStyle name="40% - Accent1 3 2 4 2 5" xfId="19752"/>
    <cellStyle name="40% - Accent1 3 2 4 3" xfId="6790"/>
    <cellStyle name="40% - Accent1 3 2 4 3 2" xfId="6791"/>
    <cellStyle name="40% - Accent1 3 2 4 3 2 2" xfId="6792"/>
    <cellStyle name="40% - Accent1 3 2 4 3 2 3" xfId="22984"/>
    <cellStyle name="40% - Accent1 3 2 4 3 3" xfId="6793"/>
    <cellStyle name="40% - Accent1 3 2 4 3 4" xfId="20401"/>
    <cellStyle name="40% - Accent1 3 2 4 4" xfId="6794"/>
    <cellStyle name="40% - Accent1 3 2 4 4 2" xfId="6795"/>
    <cellStyle name="40% - Accent1 3 2 4 4 3" xfId="21694"/>
    <cellStyle name="40% - Accent1 3 2 4 5" xfId="6796"/>
    <cellStyle name="40% - Accent1 3 2 4 6" xfId="19104"/>
    <cellStyle name="40% - Accent1 3 2 5" xfId="6797"/>
    <cellStyle name="40% - Accent1 3 2 5 2" xfId="6798"/>
    <cellStyle name="40% - Accent1 3 2 5 2 2" xfId="6799"/>
    <cellStyle name="40% - Accent1 3 2 5 2 2 2" xfId="6800"/>
    <cellStyle name="40% - Accent1 3 2 5 2 2 3" xfId="23306"/>
    <cellStyle name="40% - Accent1 3 2 5 2 3" xfId="6801"/>
    <cellStyle name="40% - Accent1 3 2 5 2 4" xfId="20723"/>
    <cellStyle name="40% - Accent1 3 2 5 3" xfId="6802"/>
    <cellStyle name="40% - Accent1 3 2 5 3 2" xfId="6803"/>
    <cellStyle name="40% - Accent1 3 2 5 3 3" xfId="22016"/>
    <cellStyle name="40% - Accent1 3 2 5 4" xfId="6804"/>
    <cellStyle name="40% - Accent1 3 2 5 5" xfId="19430"/>
    <cellStyle name="40% - Accent1 3 2 6" xfId="6805"/>
    <cellStyle name="40% - Accent1 3 2 6 2" xfId="6806"/>
    <cellStyle name="40% - Accent1 3 2 6 2 2" xfId="6807"/>
    <cellStyle name="40% - Accent1 3 2 6 2 3" xfId="22661"/>
    <cellStyle name="40% - Accent1 3 2 6 3" xfId="6808"/>
    <cellStyle name="40% - Accent1 3 2 6 4" xfId="20078"/>
    <cellStyle name="40% - Accent1 3 2 7" xfId="6809"/>
    <cellStyle name="40% - Accent1 3 2 7 2" xfId="6810"/>
    <cellStyle name="40% - Accent1 3 2 7 3" xfId="21371"/>
    <cellStyle name="40% - Accent1 3 2 8" xfId="6811"/>
    <cellStyle name="40% - Accent1 3 2 9" xfId="18757"/>
    <cellStyle name="40% - Accent1 3 3" xfId="6812"/>
    <cellStyle name="40% - Accent1 3 3 2" xfId="6813"/>
    <cellStyle name="40% - Accent1 3 3 2 2" xfId="6814"/>
    <cellStyle name="40% - Accent1 3 3 2 2 2" xfId="6815"/>
    <cellStyle name="40% - Accent1 3 3 2 2 2 2" xfId="6816"/>
    <cellStyle name="40% - Accent1 3 3 2 2 2 2 2" xfId="6817"/>
    <cellStyle name="40% - Accent1 3 3 2 2 2 2 2 2" xfId="6818"/>
    <cellStyle name="40% - Accent1 3 3 2 2 2 2 2 3" xfId="23830"/>
    <cellStyle name="40% - Accent1 3 3 2 2 2 2 3" xfId="6819"/>
    <cellStyle name="40% - Accent1 3 3 2 2 2 2 4" xfId="21247"/>
    <cellStyle name="40% - Accent1 3 3 2 2 2 3" xfId="6820"/>
    <cellStyle name="40% - Accent1 3 3 2 2 2 3 2" xfId="6821"/>
    <cellStyle name="40% - Accent1 3 3 2 2 2 3 3" xfId="22540"/>
    <cellStyle name="40% - Accent1 3 3 2 2 2 4" xfId="6822"/>
    <cellStyle name="40% - Accent1 3 3 2 2 2 5" xfId="19953"/>
    <cellStyle name="40% - Accent1 3 3 2 2 3" xfId="6823"/>
    <cellStyle name="40% - Accent1 3 3 2 2 3 2" xfId="6824"/>
    <cellStyle name="40% - Accent1 3 3 2 2 3 2 2" xfId="6825"/>
    <cellStyle name="40% - Accent1 3 3 2 2 3 2 3" xfId="23185"/>
    <cellStyle name="40% - Accent1 3 3 2 2 3 3" xfId="6826"/>
    <cellStyle name="40% - Accent1 3 3 2 2 3 4" xfId="20602"/>
    <cellStyle name="40% - Accent1 3 3 2 2 4" xfId="6827"/>
    <cellStyle name="40% - Accent1 3 3 2 2 4 2" xfId="6828"/>
    <cellStyle name="40% - Accent1 3 3 2 2 4 3" xfId="21895"/>
    <cellStyle name="40% - Accent1 3 3 2 2 5" xfId="6829"/>
    <cellStyle name="40% - Accent1 3 3 2 2 6" xfId="19305"/>
    <cellStyle name="40% - Accent1 3 3 2 3" xfId="6830"/>
    <cellStyle name="40% - Accent1 3 3 2 3 2" xfId="6831"/>
    <cellStyle name="40% - Accent1 3 3 2 3 2 2" xfId="6832"/>
    <cellStyle name="40% - Accent1 3 3 2 3 2 2 2" xfId="6833"/>
    <cellStyle name="40% - Accent1 3 3 2 3 2 2 3" xfId="23508"/>
    <cellStyle name="40% - Accent1 3 3 2 3 2 3" xfId="6834"/>
    <cellStyle name="40% - Accent1 3 3 2 3 2 4" xfId="20925"/>
    <cellStyle name="40% - Accent1 3 3 2 3 3" xfId="6835"/>
    <cellStyle name="40% - Accent1 3 3 2 3 3 2" xfId="6836"/>
    <cellStyle name="40% - Accent1 3 3 2 3 3 3" xfId="22218"/>
    <cellStyle name="40% - Accent1 3 3 2 3 4" xfId="6837"/>
    <cellStyle name="40% - Accent1 3 3 2 3 5" xfId="19631"/>
    <cellStyle name="40% - Accent1 3 3 2 4" xfId="6838"/>
    <cellStyle name="40% - Accent1 3 3 2 4 2" xfId="6839"/>
    <cellStyle name="40% - Accent1 3 3 2 4 2 2" xfId="6840"/>
    <cellStyle name="40% - Accent1 3 3 2 4 2 3" xfId="22863"/>
    <cellStyle name="40% - Accent1 3 3 2 4 3" xfId="6841"/>
    <cellStyle name="40% - Accent1 3 3 2 4 4" xfId="20280"/>
    <cellStyle name="40% - Accent1 3 3 2 5" xfId="6842"/>
    <cellStyle name="40% - Accent1 3 3 2 5 2" xfId="6843"/>
    <cellStyle name="40% - Accent1 3 3 2 5 3" xfId="21573"/>
    <cellStyle name="40% - Accent1 3 3 2 6" xfId="6844"/>
    <cellStyle name="40% - Accent1 3 3 2 7" xfId="18979"/>
    <cellStyle name="40% - Accent1 3 3 3" xfId="6845"/>
    <cellStyle name="40% - Accent1 3 3 3 2" xfId="6846"/>
    <cellStyle name="40% - Accent1 3 3 3 2 2" xfId="6847"/>
    <cellStyle name="40% - Accent1 3 3 3 2 2 2" xfId="6848"/>
    <cellStyle name="40% - Accent1 3 3 3 2 2 2 2" xfId="6849"/>
    <cellStyle name="40% - Accent1 3 3 3 2 2 2 3" xfId="23669"/>
    <cellStyle name="40% - Accent1 3 3 3 2 2 3" xfId="6850"/>
    <cellStyle name="40% - Accent1 3 3 3 2 2 4" xfId="21086"/>
    <cellStyle name="40% - Accent1 3 3 3 2 3" xfId="6851"/>
    <cellStyle name="40% - Accent1 3 3 3 2 3 2" xfId="6852"/>
    <cellStyle name="40% - Accent1 3 3 3 2 3 3" xfId="22379"/>
    <cellStyle name="40% - Accent1 3 3 3 2 4" xfId="6853"/>
    <cellStyle name="40% - Accent1 3 3 3 2 5" xfId="19792"/>
    <cellStyle name="40% - Accent1 3 3 3 3" xfId="6854"/>
    <cellStyle name="40% - Accent1 3 3 3 3 2" xfId="6855"/>
    <cellStyle name="40% - Accent1 3 3 3 3 2 2" xfId="6856"/>
    <cellStyle name="40% - Accent1 3 3 3 3 2 3" xfId="23024"/>
    <cellStyle name="40% - Accent1 3 3 3 3 3" xfId="6857"/>
    <cellStyle name="40% - Accent1 3 3 3 3 4" xfId="20441"/>
    <cellStyle name="40% - Accent1 3 3 3 4" xfId="6858"/>
    <cellStyle name="40% - Accent1 3 3 3 4 2" xfId="6859"/>
    <cellStyle name="40% - Accent1 3 3 3 4 3" xfId="21734"/>
    <cellStyle name="40% - Accent1 3 3 3 5" xfId="6860"/>
    <cellStyle name="40% - Accent1 3 3 3 6" xfId="19144"/>
    <cellStyle name="40% - Accent1 3 3 4" xfId="6861"/>
    <cellStyle name="40% - Accent1 3 3 4 2" xfId="6862"/>
    <cellStyle name="40% - Accent1 3 3 4 2 2" xfId="6863"/>
    <cellStyle name="40% - Accent1 3 3 4 2 2 2" xfId="6864"/>
    <cellStyle name="40% - Accent1 3 3 4 2 2 3" xfId="23347"/>
    <cellStyle name="40% - Accent1 3 3 4 2 3" xfId="6865"/>
    <cellStyle name="40% - Accent1 3 3 4 2 4" xfId="20764"/>
    <cellStyle name="40% - Accent1 3 3 4 3" xfId="6866"/>
    <cellStyle name="40% - Accent1 3 3 4 3 2" xfId="6867"/>
    <cellStyle name="40% - Accent1 3 3 4 3 3" xfId="22057"/>
    <cellStyle name="40% - Accent1 3 3 4 4" xfId="6868"/>
    <cellStyle name="40% - Accent1 3 3 4 5" xfId="19470"/>
    <cellStyle name="40% - Accent1 3 3 5" xfId="6869"/>
    <cellStyle name="40% - Accent1 3 3 5 2" xfId="6870"/>
    <cellStyle name="40% - Accent1 3 3 5 2 2" xfId="6871"/>
    <cellStyle name="40% - Accent1 3 3 5 2 3" xfId="22702"/>
    <cellStyle name="40% - Accent1 3 3 5 3" xfId="6872"/>
    <cellStyle name="40% - Accent1 3 3 5 4" xfId="20119"/>
    <cellStyle name="40% - Accent1 3 3 6" xfId="6873"/>
    <cellStyle name="40% - Accent1 3 3 6 2" xfId="6874"/>
    <cellStyle name="40% - Accent1 3 3 6 3" xfId="21412"/>
    <cellStyle name="40% - Accent1 3 3 7" xfId="6875"/>
    <cellStyle name="40% - Accent1 3 3 8" xfId="18812"/>
    <cellStyle name="40% - Accent1 3 4" xfId="6876"/>
    <cellStyle name="40% - Accent1 3 4 2" xfId="6877"/>
    <cellStyle name="40% - Accent1 3 4 2 2" xfId="6878"/>
    <cellStyle name="40% - Accent1 3 4 2 2 2" xfId="6879"/>
    <cellStyle name="40% - Accent1 3 4 2 2 2 2" xfId="6880"/>
    <cellStyle name="40% - Accent1 3 4 2 2 2 2 2" xfId="6881"/>
    <cellStyle name="40% - Accent1 3 4 2 2 2 2 3" xfId="23750"/>
    <cellStyle name="40% - Accent1 3 4 2 2 2 3" xfId="6882"/>
    <cellStyle name="40% - Accent1 3 4 2 2 2 4" xfId="21167"/>
    <cellStyle name="40% - Accent1 3 4 2 2 3" xfId="6883"/>
    <cellStyle name="40% - Accent1 3 4 2 2 3 2" xfId="6884"/>
    <cellStyle name="40% - Accent1 3 4 2 2 3 3" xfId="22460"/>
    <cellStyle name="40% - Accent1 3 4 2 2 4" xfId="6885"/>
    <cellStyle name="40% - Accent1 3 4 2 2 5" xfId="19873"/>
    <cellStyle name="40% - Accent1 3 4 2 3" xfId="6886"/>
    <cellStyle name="40% - Accent1 3 4 2 3 2" xfId="6887"/>
    <cellStyle name="40% - Accent1 3 4 2 3 2 2" xfId="6888"/>
    <cellStyle name="40% - Accent1 3 4 2 3 2 3" xfId="23105"/>
    <cellStyle name="40% - Accent1 3 4 2 3 3" xfId="6889"/>
    <cellStyle name="40% - Accent1 3 4 2 3 4" xfId="20522"/>
    <cellStyle name="40% - Accent1 3 4 2 4" xfId="6890"/>
    <cellStyle name="40% - Accent1 3 4 2 4 2" xfId="6891"/>
    <cellStyle name="40% - Accent1 3 4 2 4 3" xfId="21815"/>
    <cellStyle name="40% - Accent1 3 4 2 5" xfId="6892"/>
    <cellStyle name="40% - Accent1 3 4 2 6" xfId="19225"/>
    <cellStyle name="40% - Accent1 3 4 3" xfId="6893"/>
    <cellStyle name="40% - Accent1 3 4 3 2" xfId="6894"/>
    <cellStyle name="40% - Accent1 3 4 3 2 2" xfId="6895"/>
    <cellStyle name="40% - Accent1 3 4 3 2 2 2" xfId="6896"/>
    <cellStyle name="40% - Accent1 3 4 3 2 2 3" xfId="23428"/>
    <cellStyle name="40% - Accent1 3 4 3 2 3" xfId="6897"/>
    <cellStyle name="40% - Accent1 3 4 3 2 4" xfId="20845"/>
    <cellStyle name="40% - Accent1 3 4 3 3" xfId="6898"/>
    <cellStyle name="40% - Accent1 3 4 3 3 2" xfId="6899"/>
    <cellStyle name="40% - Accent1 3 4 3 3 3" xfId="22138"/>
    <cellStyle name="40% - Accent1 3 4 3 4" xfId="6900"/>
    <cellStyle name="40% - Accent1 3 4 3 5" xfId="19551"/>
    <cellStyle name="40% - Accent1 3 4 4" xfId="6901"/>
    <cellStyle name="40% - Accent1 3 4 4 2" xfId="6902"/>
    <cellStyle name="40% - Accent1 3 4 4 2 2" xfId="6903"/>
    <cellStyle name="40% - Accent1 3 4 4 2 3" xfId="22783"/>
    <cellStyle name="40% - Accent1 3 4 4 3" xfId="6904"/>
    <cellStyle name="40% - Accent1 3 4 4 4" xfId="20200"/>
    <cellStyle name="40% - Accent1 3 4 5" xfId="6905"/>
    <cellStyle name="40% - Accent1 3 4 5 2" xfId="6906"/>
    <cellStyle name="40% - Accent1 3 4 5 3" xfId="21493"/>
    <cellStyle name="40% - Accent1 3 4 6" xfId="6907"/>
    <cellStyle name="40% - Accent1 3 4 7" xfId="18899"/>
    <cellStyle name="40% - Accent1 3 5" xfId="6908"/>
    <cellStyle name="40% - Accent1 3 5 2" xfId="6909"/>
    <cellStyle name="40% - Accent1 3 5 2 2" xfId="6910"/>
    <cellStyle name="40% - Accent1 3 5 2 2 2" xfId="6911"/>
    <cellStyle name="40% - Accent1 3 5 2 2 2 2" xfId="6912"/>
    <cellStyle name="40% - Accent1 3 5 2 2 2 3" xfId="23589"/>
    <cellStyle name="40% - Accent1 3 5 2 2 3" xfId="6913"/>
    <cellStyle name="40% - Accent1 3 5 2 2 4" xfId="21006"/>
    <cellStyle name="40% - Accent1 3 5 2 3" xfId="6914"/>
    <cellStyle name="40% - Accent1 3 5 2 3 2" xfId="6915"/>
    <cellStyle name="40% - Accent1 3 5 2 3 3" xfId="22299"/>
    <cellStyle name="40% - Accent1 3 5 2 4" xfId="6916"/>
    <cellStyle name="40% - Accent1 3 5 2 5" xfId="19712"/>
    <cellStyle name="40% - Accent1 3 5 3" xfId="6917"/>
    <cellStyle name="40% - Accent1 3 5 3 2" xfId="6918"/>
    <cellStyle name="40% - Accent1 3 5 3 2 2" xfId="6919"/>
    <cellStyle name="40% - Accent1 3 5 3 2 3" xfId="22944"/>
    <cellStyle name="40% - Accent1 3 5 3 3" xfId="6920"/>
    <cellStyle name="40% - Accent1 3 5 3 4" xfId="20361"/>
    <cellStyle name="40% - Accent1 3 5 4" xfId="6921"/>
    <cellStyle name="40% - Accent1 3 5 4 2" xfId="6922"/>
    <cellStyle name="40% - Accent1 3 5 4 3" xfId="21654"/>
    <cellStyle name="40% - Accent1 3 5 5" xfId="6923"/>
    <cellStyle name="40% - Accent1 3 5 6" xfId="19064"/>
    <cellStyle name="40% - Accent1 3 6" xfId="6924"/>
    <cellStyle name="40% - Accent1 3 6 2" xfId="6925"/>
    <cellStyle name="40% - Accent1 3 6 2 2" xfId="6926"/>
    <cellStyle name="40% - Accent1 3 6 2 2 2" xfId="6927"/>
    <cellStyle name="40% - Accent1 3 6 2 2 3" xfId="23266"/>
    <cellStyle name="40% - Accent1 3 6 2 3" xfId="6928"/>
    <cellStyle name="40% - Accent1 3 6 2 4" xfId="20683"/>
    <cellStyle name="40% - Accent1 3 6 3" xfId="6929"/>
    <cellStyle name="40% - Accent1 3 6 3 2" xfId="6930"/>
    <cellStyle name="40% - Accent1 3 6 3 3" xfId="21976"/>
    <cellStyle name="40% - Accent1 3 6 4" xfId="6931"/>
    <cellStyle name="40% - Accent1 3 6 5" xfId="19390"/>
    <cellStyle name="40% - Accent1 3 7" xfId="6932"/>
    <cellStyle name="40% - Accent1 3 7 2" xfId="6933"/>
    <cellStyle name="40% - Accent1 3 7 2 2" xfId="6934"/>
    <cellStyle name="40% - Accent1 3 7 2 3" xfId="22621"/>
    <cellStyle name="40% - Accent1 3 7 3" xfId="6935"/>
    <cellStyle name="40% - Accent1 3 7 4" xfId="20038"/>
    <cellStyle name="40% - Accent1 3 8" xfId="6936"/>
    <cellStyle name="40% - Accent1 3 8 2" xfId="6937"/>
    <cellStyle name="40% - Accent1 3 8 3" xfId="21331"/>
    <cellStyle name="40% - Accent1 3 9" xfId="6938"/>
    <cellStyle name="40% - Accent1 4" xfId="6939"/>
    <cellStyle name="40% - Accent1 4 2" xfId="6940"/>
    <cellStyle name="40% - Accent1 4 2 2" xfId="6941"/>
    <cellStyle name="40% - Accent1 4 2 2 2" xfId="6942"/>
    <cellStyle name="40% - Accent1 4 2 2 2 2" xfId="6943"/>
    <cellStyle name="40% - Accent1 4 2 2 2 2 2" xfId="6944"/>
    <cellStyle name="40% - Accent1 4 2 2 2 2 2 2" xfId="6945"/>
    <cellStyle name="40% - Accent1 4 2 2 2 2 2 2 2" xfId="6946"/>
    <cellStyle name="40% - Accent1 4 2 2 2 2 2 2 3" xfId="23850"/>
    <cellStyle name="40% - Accent1 4 2 2 2 2 2 3" xfId="6947"/>
    <cellStyle name="40% - Accent1 4 2 2 2 2 2 4" xfId="21267"/>
    <cellStyle name="40% - Accent1 4 2 2 2 2 3" xfId="6948"/>
    <cellStyle name="40% - Accent1 4 2 2 2 2 3 2" xfId="6949"/>
    <cellStyle name="40% - Accent1 4 2 2 2 2 3 3" xfId="22560"/>
    <cellStyle name="40% - Accent1 4 2 2 2 2 4" xfId="6950"/>
    <cellStyle name="40% - Accent1 4 2 2 2 2 5" xfId="19973"/>
    <cellStyle name="40% - Accent1 4 2 2 2 3" xfId="6951"/>
    <cellStyle name="40% - Accent1 4 2 2 2 3 2" xfId="6952"/>
    <cellStyle name="40% - Accent1 4 2 2 2 3 2 2" xfId="6953"/>
    <cellStyle name="40% - Accent1 4 2 2 2 3 2 3" xfId="23205"/>
    <cellStyle name="40% - Accent1 4 2 2 2 3 3" xfId="6954"/>
    <cellStyle name="40% - Accent1 4 2 2 2 3 4" xfId="20622"/>
    <cellStyle name="40% - Accent1 4 2 2 2 4" xfId="6955"/>
    <cellStyle name="40% - Accent1 4 2 2 2 4 2" xfId="6956"/>
    <cellStyle name="40% - Accent1 4 2 2 2 4 3" xfId="21915"/>
    <cellStyle name="40% - Accent1 4 2 2 2 5" xfId="6957"/>
    <cellStyle name="40% - Accent1 4 2 2 2 6" xfId="19325"/>
    <cellStyle name="40% - Accent1 4 2 2 3" xfId="6958"/>
    <cellStyle name="40% - Accent1 4 2 2 3 2" xfId="6959"/>
    <cellStyle name="40% - Accent1 4 2 2 3 2 2" xfId="6960"/>
    <cellStyle name="40% - Accent1 4 2 2 3 2 2 2" xfId="6961"/>
    <cellStyle name="40% - Accent1 4 2 2 3 2 2 3" xfId="23528"/>
    <cellStyle name="40% - Accent1 4 2 2 3 2 3" xfId="6962"/>
    <cellStyle name="40% - Accent1 4 2 2 3 2 4" xfId="20945"/>
    <cellStyle name="40% - Accent1 4 2 2 3 3" xfId="6963"/>
    <cellStyle name="40% - Accent1 4 2 2 3 3 2" xfId="6964"/>
    <cellStyle name="40% - Accent1 4 2 2 3 3 3" xfId="22238"/>
    <cellStyle name="40% - Accent1 4 2 2 3 4" xfId="6965"/>
    <cellStyle name="40% - Accent1 4 2 2 3 5" xfId="19651"/>
    <cellStyle name="40% - Accent1 4 2 2 4" xfId="6966"/>
    <cellStyle name="40% - Accent1 4 2 2 4 2" xfId="6967"/>
    <cellStyle name="40% - Accent1 4 2 2 4 2 2" xfId="6968"/>
    <cellStyle name="40% - Accent1 4 2 2 4 2 3" xfId="22883"/>
    <cellStyle name="40% - Accent1 4 2 2 4 3" xfId="6969"/>
    <cellStyle name="40% - Accent1 4 2 2 4 4" xfId="20300"/>
    <cellStyle name="40% - Accent1 4 2 2 5" xfId="6970"/>
    <cellStyle name="40% - Accent1 4 2 2 5 2" xfId="6971"/>
    <cellStyle name="40% - Accent1 4 2 2 5 3" xfId="21593"/>
    <cellStyle name="40% - Accent1 4 2 2 6" xfId="6972"/>
    <cellStyle name="40% - Accent1 4 2 2 7" xfId="18999"/>
    <cellStyle name="40% - Accent1 4 2 3" xfId="6973"/>
    <cellStyle name="40% - Accent1 4 2 3 2" xfId="6974"/>
    <cellStyle name="40% - Accent1 4 2 3 2 2" xfId="6975"/>
    <cellStyle name="40% - Accent1 4 2 3 2 2 2" xfId="6976"/>
    <cellStyle name="40% - Accent1 4 2 3 2 2 2 2" xfId="6977"/>
    <cellStyle name="40% - Accent1 4 2 3 2 2 2 3" xfId="23689"/>
    <cellStyle name="40% - Accent1 4 2 3 2 2 3" xfId="6978"/>
    <cellStyle name="40% - Accent1 4 2 3 2 2 4" xfId="21106"/>
    <cellStyle name="40% - Accent1 4 2 3 2 3" xfId="6979"/>
    <cellStyle name="40% - Accent1 4 2 3 2 3 2" xfId="6980"/>
    <cellStyle name="40% - Accent1 4 2 3 2 3 3" xfId="22399"/>
    <cellStyle name="40% - Accent1 4 2 3 2 4" xfId="6981"/>
    <cellStyle name="40% - Accent1 4 2 3 2 5" xfId="19812"/>
    <cellStyle name="40% - Accent1 4 2 3 3" xfId="6982"/>
    <cellStyle name="40% - Accent1 4 2 3 3 2" xfId="6983"/>
    <cellStyle name="40% - Accent1 4 2 3 3 2 2" xfId="6984"/>
    <cellStyle name="40% - Accent1 4 2 3 3 2 3" xfId="23044"/>
    <cellStyle name="40% - Accent1 4 2 3 3 3" xfId="6985"/>
    <cellStyle name="40% - Accent1 4 2 3 3 4" xfId="20461"/>
    <cellStyle name="40% - Accent1 4 2 3 4" xfId="6986"/>
    <cellStyle name="40% - Accent1 4 2 3 4 2" xfId="6987"/>
    <cellStyle name="40% - Accent1 4 2 3 4 3" xfId="21754"/>
    <cellStyle name="40% - Accent1 4 2 3 5" xfId="6988"/>
    <cellStyle name="40% - Accent1 4 2 3 6" xfId="19164"/>
    <cellStyle name="40% - Accent1 4 2 4" xfId="6989"/>
    <cellStyle name="40% - Accent1 4 2 4 2" xfId="6990"/>
    <cellStyle name="40% - Accent1 4 2 4 2 2" xfId="6991"/>
    <cellStyle name="40% - Accent1 4 2 4 2 2 2" xfId="6992"/>
    <cellStyle name="40% - Accent1 4 2 4 2 2 3" xfId="23367"/>
    <cellStyle name="40% - Accent1 4 2 4 2 3" xfId="6993"/>
    <cellStyle name="40% - Accent1 4 2 4 2 4" xfId="20784"/>
    <cellStyle name="40% - Accent1 4 2 4 3" xfId="6994"/>
    <cellStyle name="40% - Accent1 4 2 4 3 2" xfId="6995"/>
    <cellStyle name="40% - Accent1 4 2 4 3 3" xfId="22077"/>
    <cellStyle name="40% - Accent1 4 2 4 4" xfId="6996"/>
    <cellStyle name="40% - Accent1 4 2 4 5" xfId="19490"/>
    <cellStyle name="40% - Accent1 4 2 5" xfId="6997"/>
    <cellStyle name="40% - Accent1 4 2 5 2" xfId="6998"/>
    <cellStyle name="40% - Accent1 4 2 5 2 2" xfId="6999"/>
    <cellStyle name="40% - Accent1 4 2 5 2 3" xfId="22722"/>
    <cellStyle name="40% - Accent1 4 2 5 3" xfId="7000"/>
    <cellStyle name="40% - Accent1 4 2 5 4" xfId="20139"/>
    <cellStyle name="40% - Accent1 4 2 6" xfId="7001"/>
    <cellStyle name="40% - Accent1 4 2 6 2" xfId="7002"/>
    <cellStyle name="40% - Accent1 4 2 6 3" xfId="21432"/>
    <cellStyle name="40% - Accent1 4 2 7" xfId="7003"/>
    <cellStyle name="40% - Accent1 4 2 8" xfId="18833"/>
    <cellStyle name="40% - Accent1 4 3" xfId="7004"/>
    <cellStyle name="40% - Accent1 4 3 2" xfId="7005"/>
    <cellStyle name="40% - Accent1 4 3 2 2" xfId="7006"/>
    <cellStyle name="40% - Accent1 4 3 2 2 2" xfId="7007"/>
    <cellStyle name="40% - Accent1 4 3 2 2 2 2" xfId="7008"/>
    <cellStyle name="40% - Accent1 4 3 2 2 2 2 2" xfId="7009"/>
    <cellStyle name="40% - Accent1 4 3 2 2 2 2 3" xfId="23770"/>
    <cellStyle name="40% - Accent1 4 3 2 2 2 3" xfId="7010"/>
    <cellStyle name="40% - Accent1 4 3 2 2 2 4" xfId="21187"/>
    <cellStyle name="40% - Accent1 4 3 2 2 3" xfId="7011"/>
    <cellStyle name="40% - Accent1 4 3 2 2 3 2" xfId="7012"/>
    <cellStyle name="40% - Accent1 4 3 2 2 3 3" xfId="22480"/>
    <cellStyle name="40% - Accent1 4 3 2 2 4" xfId="7013"/>
    <cellStyle name="40% - Accent1 4 3 2 2 5" xfId="19893"/>
    <cellStyle name="40% - Accent1 4 3 2 3" xfId="7014"/>
    <cellStyle name="40% - Accent1 4 3 2 3 2" xfId="7015"/>
    <cellStyle name="40% - Accent1 4 3 2 3 2 2" xfId="7016"/>
    <cellStyle name="40% - Accent1 4 3 2 3 2 3" xfId="23125"/>
    <cellStyle name="40% - Accent1 4 3 2 3 3" xfId="7017"/>
    <cellStyle name="40% - Accent1 4 3 2 3 4" xfId="20542"/>
    <cellStyle name="40% - Accent1 4 3 2 4" xfId="7018"/>
    <cellStyle name="40% - Accent1 4 3 2 4 2" xfId="7019"/>
    <cellStyle name="40% - Accent1 4 3 2 4 3" xfId="21835"/>
    <cellStyle name="40% - Accent1 4 3 2 5" xfId="7020"/>
    <cellStyle name="40% - Accent1 4 3 2 6" xfId="19245"/>
    <cellStyle name="40% - Accent1 4 3 3" xfId="7021"/>
    <cellStyle name="40% - Accent1 4 3 3 2" xfId="7022"/>
    <cellStyle name="40% - Accent1 4 3 3 2 2" xfId="7023"/>
    <cellStyle name="40% - Accent1 4 3 3 2 2 2" xfId="7024"/>
    <cellStyle name="40% - Accent1 4 3 3 2 2 3" xfId="23448"/>
    <cellStyle name="40% - Accent1 4 3 3 2 3" xfId="7025"/>
    <cellStyle name="40% - Accent1 4 3 3 2 4" xfId="20865"/>
    <cellStyle name="40% - Accent1 4 3 3 3" xfId="7026"/>
    <cellStyle name="40% - Accent1 4 3 3 3 2" xfId="7027"/>
    <cellStyle name="40% - Accent1 4 3 3 3 3" xfId="22158"/>
    <cellStyle name="40% - Accent1 4 3 3 4" xfId="7028"/>
    <cellStyle name="40% - Accent1 4 3 3 5" xfId="19571"/>
    <cellStyle name="40% - Accent1 4 3 4" xfId="7029"/>
    <cellStyle name="40% - Accent1 4 3 4 2" xfId="7030"/>
    <cellStyle name="40% - Accent1 4 3 4 2 2" xfId="7031"/>
    <cellStyle name="40% - Accent1 4 3 4 2 3" xfId="22803"/>
    <cellStyle name="40% - Accent1 4 3 4 3" xfId="7032"/>
    <cellStyle name="40% - Accent1 4 3 4 4" xfId="20220"/>
    <cellStyle name="40% - Accent1 4 3 5" xfId="7033"/>
    <cellStyle name="40% - Accent1 4 3 5 2" xfId="7034"/>
    <cellStyle name="40% - Accent1 4 3 5 3" xfId="21513"/>
    <cellStyle name="40% - Accent1 4 3 6" xfId="7035"/>
    <cellStyle name="40% - Accent1 4 3 7" xfId="18919"/>
    <cellStyle name="40% - Accent1 4 4" xfId="7036"/>
    <cellStyle name="40% - Accent1 4 4 2" xfId="7037"/>
    <cellStyle name="40% - Accent1 4 4 2 2" xfId="7038"/>
    <cellStyle name="40% - Accent1 4 4 2 2 2" xfId="7039"/>
    <cellStyle name="40% - Accent1 4 4 2 2 2 2" xfId="7040"/>
    <cellStyle name="40% - Accent1 4 4 2 2 2 3" xfId="23609"/>
    <cellStyle name="40% - Accent1 4 4 2 2 3" xfId="7041"/>
    <cellStyle name="40% - Accent1 4 4 2 2 4" xfId="21026"/>
    <cellStyle name="40% - Accent1 4 4 2 3" xfId="7042"/>
    <cellStyle name="40% - Accent1 4 4 2 3 2" xfId="7043"/>
    <cellStyle name="40% - Accent1 4 4 2 3 3" xfId="22319"/>
    <cellStyle name="40% - Accent1 4 4 2 4" xfId="7044"/>
    <cellStyle name="40% - Accent1 4 4 2 5" xfId="19732"/>
    <cellStyle name="40% - Accent1 4 4 3" xfId="7045"/>
    <cellStyle name="40% - Accent1 4 4 3 2" xfId="7046"/>
    <cellStyle name="40% - Accent1 4 4 3 2 2" xfId="7047"/>
    <cellStyle name="40% - Accent1 4 4 3 2 3" xfId="22964"/>
    <cellStyle name="40% - Accent1 4 4 3 3" xfId="7048"/>
    <cellStyle name="40% - Accent1 4 4 3 4" xfId="20381"/>
    <cellStyle name="40% - Accent1 4 4 4" xfId="7049"/>
    <cellStyle name="40% - Accent1 4 4 4 2" xfId="7050"/>
    <cellStyle name="40% - Accent1 4 4 4 3" xfId="21674"/>
    <cellStyle name="40% - Accent1 4 4 5" xfId="7051"/>
    <cellStyle name="40% - Accent1 4 4 6" xfId="19084"/>
    <cellStyle name="40% - Accent1 4 5" xfId="7052"/>
    <cellStyle name="40% - Accent1 4 5 2" xfId="7053"/>
    <cellStyle name="40% - Accent1 4 5 2 2" xfId="7054"/>
    <cellStyle name="40% - Accent1 4 5 2 2 2" xfId="7055"/>
    <cellStyle name="40% - Accent1 4 5 2 2 3" xfId="23286"/>
    <cellStyle name="40% - Accent1 4 5 2 3" xfId="7056"/>
    <cellStyle name="40% - Accent1 4 5 2 4" xfId="20703"/>
    <cellStyle name="40% - Accent1 4 5 3" xfId="7057"/>
    <cellStyle name="40% - Accent1 4 5 3 2" xfId="7058"/>
    <cellStyle name="40% - Accent1 4 5 3 3" xfId="21996"/>
    <cellStyle name="40% - Accent1 4 5 4" xfId="7059"/>
    <cellStyle name="40% - Accent1 4 5 5" xfId="19410"/>
    <cellStyle name="40% - Accent1 4 6" xfId="7060"/>
    <cellStyle name="40% - Accent1 4 6 2" xfId="7061"/>
    <cellStyle name="40% - Accent1 4 6 2 2" xfId="7062"/>
    <cellStyle name="40% - Accent1 4 6 2 3" xfId="22641"/>
    <cellStyle name="40% - Accent1 4 6 3" xfId="7063"/>
    <cellStyle name="40% - Accent1 4 6 4" xfId="20058"/>
    <cellStyle name="40% - Accent1 4 7" xfId="7064"/>
    <cellStyle name="40% - Accent1 4 7 2" xfId="7065"/>
    <cellStyle name="40% - Accent1 4 7 3" xfId="21351"/>
    <cellStyle name="40% - Accent1 4 8" xfId="7066"/>
    <cellStyle name="40% - Accent1 4 9" xfId="18733"/>
    <cellStyle name="40% - Accent1 5" xfId="7067"/>
    <cellStyle name="40% - Accent1 5 2" xfId="7068"/>
    <cellStyle name="40% - Accent1 5 2 2" xfId="7069"/>
    <cellStyle name="40% - Accent1 5 2 2 2" xfId="7070"/>
    <cellStyle name="40% - Accent1 5 2 2 2 2" xfId="7071"/>
    <cellStyle name="40% - Accent1 5 2 2 2 2 2" xfId="7072"/>
    <cellStyle name="40% - Accent1 5 2 2 2 2 2 2" xfId="7073"/>
    <cellStyle name="40% - Accent1 5 2 2 2 2 2 3" xfId="23810"/>
    <cellStyle name="40% - Accent1 5 2 2 2 2 3" xfId="7074"/>
    <cellStyle name="40% - Accent1 5 2 2 2 2 4" xfId="21227"/>
    <cellStyle name="40% - Accent1 5 2 2 2 3" xfId="7075"/>
    <cellStyle name="40% - Accent1 5 2 2 2 3 2" xfId="7076"/>
    <cellStyle name="40% - Accent1 5 2 2 2 3 3" xfId="22520"/>
    <cellStyle name="40% - Accent1 5 2 2 2 4" xfId="7077"/>
    <cellStyle name="40% - Accent1 5 2 2 2 5" xfId="19933"/>
    <cellStyle name="40% - Accent1 5 2 2 3" xfId="7078"/>
    <cellStyle name="40% - Accent1 5 2 2 3 2" xfId="7079"/>
    <cellStyle name="40% - Accent1 5 2 2 3 2 2" xfId="7080"/>
    <cellStyle name="40% - Accent1 5 2 2 3 2 3" xfId="23165"/>
    <cellStyle name="40% - Accent1 5 2 2 3 3" xfId="7081"/>
    <cellStyle name="40% - Accent1 5 2 2 3 4" xfId="20582"/>
    <cellStyle name="40% - Accent1 5 2 2 4" xfId="7082"/>
    <cellStyle name="40% - Accent1 5 2 2 4 2" xfId="7083"/>
    <cellStyle name="40% - Accent1 5 2 2 4 3" xfId="21875"/>
    <cellStyle name="40% - Accent1 5 2 2 5" xfId="7084"/>
    <cellStyle name="40% - Accent1 5 2 2 6" xfId="19285"/>
    <cellStyle name="40% - Accent1 5 2 3" xfId="7085"/>
    <cellStyle name="40% - Accent1 5 2 3 2" xfId="7086"/>
    <cellStyle name="40% - Accent1 5 2 3 2 2" xfId="7087"/>
    <cellStyle name="40% - Accent1 5 2 3 2 2 2" xfId="7088"/>
    <cellStyle name="40% - Accent1 5 2 3 2 2 3" xfId="23488"/>
    <cellStyle name="40% - Accent1 5 2 3 2 3" xfId="7089"/>
    <cellStyle name="40% - Accent1 5 2 3 2 4" xfId="20905"/>
    <cellStyle name="40% - Accent1 5 2 3 3" xfId="7090"/>
    <cellStyle name="40% - Accent1 5 2 3 3 2" xfId="7091"/>
    <cellStyle name="40% - Accent1 5 2 3 3 3" xfId="22198"/>
    <cellStyle name="40% - Accent1 5 2 3 4" xfId="7092"/>
    <cellStyle name="40% - Accent1 5 2 3 5" xfId="19611"/>
    <cellStyle name="40% - Accent1 5 2 4" xfId="7093"/>
    <cellStyle name="40% - Accent1 5 2 4 2" xfId="7094"/>
    <cellStyle name="40% - Accent1 5 2 4 2 2" xfId="7095"/>
    <cellStyle name="40% - Accent1 5 2 4 2 3" xfId="22843"/>
    <cellStyle name="40% - Accent1 5 2 4 3" xfId="7096"/>
    <cellStyle name="40% - Accent1 5 2 4 4" xfId="20260"/>
    <cellStyle name="40% - Accent1 5 2 5" xfId="7097"/>
    <cellStyle name="40% - Accent1 5 2 5 2" xfId="7098"/>
    <cellStyle name="40% - Accent1 5 2 5 3" xfId="21553"/>
    <cellStyle name="40% - Accent1 5 2 6" xfId="7099"/>
    <cellStyle name="40% - Accent1 5 2 7" xfId="18959"/>
    <cellStyle name="40% - Accent1 5 3" xfId="7100"/>
    <cellStyle name="40% - Accent1 5 3 2" xfId="7101"/>
    <cellStyle name="40% - Accent1 5 3 2 2" xfId="7102"/>
    <cellStyle name="40% - Accent1 5 3 2 2 2" xfId="7103"/>
    <cellStyle name="40% - Accent1 5 3 2 2 2 2" xfId="7104"/>
    <cellStyle name="40% - Accent1 5 3 2 2 2 3" xfId="23649"/>
    <cellStyle name="40% - Accent1 5 3 2 2 3" xfId="7105"/>
    <cellStyle name="40% - Accent1 5 3 2 2 4" xfId="21066"/>
    <cellStyle name="40% - Accent1 5 3 2 3" xfId="7106"/>
    <cellStyle name="40% - Accent1 5 3 2 3 2" xfId="7107"/>
    <cellStyle name="40% - Accent1 5 3 2 3 3" xfId="22359"/>
    <cellStyle name="40% - Accent1 5 3 2 4" xfId="7108"/>
    <cellStyle name="40% - Accent1 5 3 2 5" xfId="19772"/>
    <cellStyle name="40% - Accent1 5 3 3" xfId="7109"/>
    <cellStyle name="40% - Accent1 5 3 3 2" xfId="7110"/>
    <cellStyle name="40% - Accent1 5 3 3 2 2" xfId="7111"/>
    <cellStyle name="40% - Accent1 5 3 3 2 3" xfId="23004"/>
    <cellStyle name="40% - Accent1 5 3 3 3" xfId="7112"/>
    <cellStyle name="40% - Accent1 5 3 3 4" xfId="20421"/>
    <cellStyle name="40% - Accent1 5 3 4" xfId="7113"/>
    <cellStyle name="40% - Accent1 5 3 4 2" xfId="7114"/>
    <cellStyle name="40% - Accent1 5 3 4 3" xfId="21714"/>
    <cellStyle name="40% - Accent1 5 3 5" xfId="7115"/>
    <cellStyle name="40% - Accent1 5 3 6" xfId="19124"/>
    <cellStyle name="40% - Accent1 5 4" xfId="7116"/>
    <cellStyle name="40% - Accent1 5 4 2" xfId="7117"/>
    <cellStyle name="40% - Accent1 5 4 2 2" xfId="7118"/>
    <cellStyle name="40% - Accent1 5 4 2 2 2" xfId="7119"/>
    <cellStyle name="40% - Accent1 5 4 2 2 3" xfId="23326"/>
    <cellStyle name="40% - Accent1 5 4 2 3" xfId="7120"/>
    <cellStyle name="40% - Accent1 5 4 2 4" xfId="20743"/>
    <cellStyle name="40% - Accent1 5 4 3" xfId="7121"/>
    <cellStyle name="40% - Accent1 5 4 3 2" xfId="7122"/>
    <cellStyle name="40% - Accent1 5 4 3 3" xfId="22036"/>
    <cellStyle name="40% - Accent1 5 4 4" xfId="7123"/>
    <cellStyle name="40% - Accent1 5 4 5" xfId="19450"/>
    <cellStyle name="40% - Accent1 5 5" xfId="7124"/>
    <cellStyle name="40% - Accent1 5 5 2" xfId="7125"/>
    <cellStyle name="40% - Accent1 5 5 2 2" xfId="7126"/>
    <cellStyle name="40% - Accent1 5 5 2 3" xfId="22681"/>
    <cellStyle name="40% - Accent1 5 5 3" xfId="7127"/>
    <cellStyle name="40% - Accent1 5 5 4" xfId="20098"/>
    <cellStyle name="40% - Accent1 5 6" xfId="7128"/>
    <cellStyle name="40% - Accent1 5 6 2" xfId="7129"/>
    <cellStyle name="40% - Accent1 5 6 3" xfId="21391"/>
    <cellStyle name="40% - Accent1 5 7" xfId="7130"/>
    <cellStyle name="40% - Accent1 5 8" xfId="18786"/>
    <cellStyle name="40% - Accent1 6" xfId="7131"/>
    <cellStyle name="40% - Accent1 6 2" xfId="7132"/>
    <cellStyle name="40% - Accent1 6 2 2" xfId="7133"/>
    <cellStyle name="40% - Accent1 6 2 2 2" xfId="7134"/>
    <cellStyle name="40% - Accent1 6 2 2 2 2" xfId="7135"/>
    <cellStyle name="40% - Accent1 6 2 2 2 2 2" xfId="7136"/>
    <cellStyle name="40% - Accent1 6 2 2 2 2 3" xfId="23729"/>
    <cellStyle name="40% - Accent1 6 2 2 2 3" xfId="7137"/>
    <cellStyle name="40% - Accent1 6 2 2 2 4" xfId="21146"/>
    <cellStyle name="40% - Accent1 6 2 2 3" xfId="7138"/>
    <cellStyle name="40% - Accent1 6 2 2 3 2" xfId="7139"/>
    <cellStyle name="40% - Accent1 6 2 2 3 3" xfId="22439"/>
    <cellStyle name="40% - Accent1 6 2 2 4" xfId="7140"/>
    <cellStyle name="40% - Accent1 6 2 2 5" xfId="19852"/>
    <cellStyle name="40% - Accent1 6 2 3" xfId="7141"/>
    <cellStyle name="40% - Accent1 6 2 3 2" xfId="7142"/>
    <cellStyle name="40% - Accent1 6 2 3 2 2" xfId="7143"/>
    <cellStyle name="40% - Accent1 6 2 3 2 3" xfId="23084"/>
    <cellStyle name="40% - Accent1 6 2 3 3" xfId="7144"/>
    <cellStyle name="40% - Accent1 6 2 3 4" xfId="20501"/>
    <cellStyle name="40% - Accent1 6 2 4" xfId="7145"/>
    <cellStyle name="40% - Accent1 6 2 4 2" xfId="7146"/>
    <cellStyle name="40% - Accent1 6 2 4 3" xfId="21794"/>
    <cellStyle name="40% - Accent1 6 2 5" xfId="7147"/>
    <cellStyle name="40% - Accent1 6 2 6" xfId="19204"/>
    <cellStyle name="40% - Accent1 6 3" xfId="7148"/>
    <cellStyle name="40% - Accent1 6 3 2" xfId="7149"/>
    <cellStyle name="40% - Accent1 6 3 2 2" xfId="7150"/>
    <cellStyle name="40% - Accent1 6 3 2 2 2" xfId="7151"/>
    <cellStyle name="40% - Accent1 6 3 2 2 3" xfId="23407"/>
    <cellStyle name="40% - Accent1 6 3 2 3" xfId="7152"/>
    <cellStyle name="40% - Accent1 6 3 2 4" xfId="20824"/>
    <cellStyle name="40% - Accent1 6 3 3" xfId="7153"/>
    <cellStyle name="40% - Accent1 6 3 3 2" xfId="7154"/>
    <cellStyle name="40% - Accent1 6 3 3 3" xfId="22117"/>
    <cellStyle name="40% - Accent1 6 3 4" xfId="7155"/>
    <cellStyle name="40% - Accent1 6 3 5" xfId="19530"/>
    <cellStyle name="40% - Accent1 6 4" xfId="7156"/>
    <cellStyle name="40% - Accent1 6 4 2" xfId="7157"/>
    <cellStyle name="40% - Accent1 6 4 2 2" xfId="7158"/>
    <cellStyle name="40% - Accent1 6 4 2 3" xfId="22762"/>
    <cellStyle name="40% - Accent1 6 4 3" xfId="7159"/>
    <cellStyle name="40% - Accent1 6 4 4" xfId="20179"/>
    <cellStyle name="40% - Accent1 6 5" xfId="7160"/>
    <cellStyle name="40% - Accent1 6 5 2" xfId="7161"/>
    <cellStyle name="40% - Accent1 6 5 3" xfId="21472"/>
    <cellStyle name="40% - Accent1 6 6" xfId="7162"/>
    <cellStyle name="40% - Accent1 6 7" xfId="18874"/>
    <cellStyle name="40% - Accent1 7" xfId="7163"/>
    <cellStyle name="40% - Accent1 7 2" xfId="7164"/>
    <cellStyle name="40% - Accent1 7 2 2" xfId="7165"/>
    <cellStyle name="40% - Accent1 7 2 2 2" xfId="7166"/>
    <cellStyle name="40% - Accent1 7 2 2 2 2" xfId="7167"/>
    <cellStyle name="40% - Accent1 7 2 2 2 3" xfId="23568"/>
    <cellStyle name="40% - Accent1 7 2 2 3" xfId="7168"/>
    <cellStyle name="40% - Accent1 7 2 2 4" xfId="20985"/>
    <cellStyle name="40% - Accent1 7 2 3" xfId="7169"/>
    <cellStyle name="40% - Accent1 7 2 3 2" xfId="7170"/>
    <cellStyle name="40% - Accent1 7 2 3 3" xfId="22278"/>
    <cellStyle name="40% - Accent1 7 2 4" xfId="7171"/>
    <cellStyle name="40% - Accent1 7 2 5" xfId="19691"/>
    <cellStyle name="40% - Accent1 7 3" xfId="7172"/>
    <cellStyle name="40% - Accent1 7 3 2" xfId="7173"/>
    <cellStyle name="40% - Accent1 7 3 2 2" xfId="7174"/>
    <cellStyle name="40% - Accent1 7 3 2 3" xfId="22923"/>
    <cellStyle name="40% - Accent1 7 3 3" xfId="7175"/>
    <cellStyle name="40% - Accent1 7 3 4" xfId="20340"/>
    <cellStyle name="40% - Accent1 7 4" xfId="7176"/>
    <cellStyle name="40% - Accent1 7 4 2" xfId="7177"/>
    <cellStyle name="40% - Accent1 7 4 3" xfId="21633"/>
    <cellStyle name="40% - Accent1 7 5" xfId="7178"/>
    <cellStyle name="40% - Accent1 7 6" xfId="19039"/>
    <cellStyle name="40% - Accent1 8" xfId="7179"/>
    <cellStyle name="40% - Accent1 8 2" xfId="7180"/>
    <cellStyle name="40% - Accent1 8 2 2" xfId="7181"/>
    <cellStyle name="40% - Accent1 8 2 2 2" xfId="7182"/>
    <cellStyle name="40% - Accent1 8 2 2 3" xfId="23245"/>
    <cellStyle name="40% - Accent1 8 2 3" xfId="7183"/>
    <cellStyle name="40% - Accent1 8 2 4" xfId="20662"/>
    <cellStyle name="40% - Accent1 8 3" xfId="7184"/>
    <cellStyle name="40% - Accent1 8 3 2" xfId="7185"/>
    <cellStyle name="40% - Accent1 8 3 3" xfId="21955"/>
    <cellStyle name="40% - Accent1 8 4" xfId="7186"/>
    <cellStyle name="40% - Accent1 8 5" xfId="19365"/>
    <cellStyle name="40% - Accent1 9" xfId="7187"/>
    <cellStyle name="40% - Accent1 9 2" xfId="7188"/>
    <cellStyle name="40% - Accent1 9 2 2" xfId="7189"/>
    <cellStyle name="40% - Accent1 9 2 3" xfId="22600"/>
    <cellStyle name="40% - Accent1 9 3" xfId="7190"/>
    <cellStyle name="40% - Accent1 9 4" xfId="20013"/>
    <cellStyle name="40% - Accent2 10" xfId="7191"/>
    <cellStyle name="40% - Accent2 10 2" xfId="7192"/>
    <cellStyle name="40% - Accent2 10 3" xfId="21308"/>
    <cellStyle name="40% - Accent2 11" xfId="7193"/>
    <cellStyle name="40% - Accent2 12" xfId="7194"/>
    <cellStyle name="40% - Accent2 13" xfId="7195"/>
    <cellStyle name="40% - Accent2 14" xfId="7196"/>
    <cellStyle name="40% - Accent2 15" xfId="18615"/>
    <cellStyle name="40% - Accent2 2" xfId="7197"/>
    <cellStyle name="40% - Accent2 2 10" xfId="7198"/>
    <cellStyle name="40% - Accent2 2 11" xfId="18637"/>
    <cellStyle name="40% - Accent2 2 2" xfId="7199"/>
    <cellStyle name="40% - Accent2 2 2 10" xfId="18724"/>
    <cellStyle name="40% - Accent2 2 2 2" xfId="7200"/>
    <cellStyle name="40% - Accent2 2 2 2 2" xfId="7201"/>
    <cellStyle name="40% - Accent2 2 2 2 2 2" xfId="7202"/>
    <cellStyle name="40% - Accent2 2 2 2 2 2 2" xfId="7203"/>
    <cellStyle name="40% - Accent2 2 2 2 2 2 2 2" xfId="7204"/>
    <cellStyle name="40% - Accent2 2 2 2 2 2 2 2 2" xfId="7205"/>
    <cellStyle name="40% - Accent2 2 2 2 2 2 2 2 2 2" xfId="7206"/>
    <cellStyle name="40% - Accent2 2 2 2 2 2 2 2 2 2 2" xfId="7207"/>
    <cellStyle name="40% - Accent2 2 2 2 2 2 2 2 2 2 3" xfId="23881"/>
    <cellStyle name="40% - Accent2 2 2 2 2 2 2 2 2 3" xfId="7208"/>
    <cellStyle name="40% - Accent2 2 2 2 2 2 2 2 2 4" xfId="21298"/>
    <cellStyle name="40% - Accent2 2 2 2 2 2 2 2 3" xfId="7209"/>
    <cellStyle name="40% - Accent2 2 2 2 2 2 2 2 3 2" xfId="7210"/>
    <cellStyle name="40% - Accent2 2 2 2 2 2 2 2 3 3" xfId="22591"/>
    <cellStyle name="40% - Accent2 2 2 2 2 2 2 2 4" xfId="7211"/>
    <cellStyle name="40% - Accent2 2 2 2 2 2 2 2 5" xfId="20004"/>
    <cellStyle name="40% - Accent2 2 2 2 2 2 2 3" xfId="7212"/>
    <cellStyle name="40% - Accent2 2 2 2 2 2 2 3 2" xfId="7213"/>
    <cellStyle name="40% - Accent2 2 2 2 2 2 2 3 2 2" xfId="7214"/>
    <cellStyle name="40% - Accent2 2 2 2 2 2 2 3 2 3" xfId="23236"/>
    <cellStyle name="40% - Accent2 2 2 2 2 2 2 3 3" xfId="7215"/>
    <cellStyle name="40% - Accent2 2 2 2 2 2 2 3 4" xfId="20653"/>
    <cellStyle name="40% - Accent2 2 2 2 2 2 2 4" xfId="7216"/>
    <cellStyle name="40% - Accent2 2 2 2 2 2 2 4 2" xfId="7217"/>
    <cellStyle name="40% - Accent2 2 2 2 2 2 2 4 3" xfId="21946"/>
    <cellStyle name="40% - Accent2 2 2 2 2 2 2 5" xfId="7218"/>
    <cellStyle name="40% - Accent2 2 2 2 2 2 2 6" xfId="19356"/>
    <cellStyle name="40% - Accent2 2 2 2 2 2 3" xfId="7219"/>
    <cellStyle name="40% - Accent2 2 2 2 2 2 3 2" xfId="7220"/>
    <cellStyle name="40% - Accent2 2 2 2 2 2 3 2 2" xfId="7221"/>
    <cellStyle name="40% - Accent2 2 2 2 2 2 3 2 2 2" xfId="7222"/>
    <cellStyle name="40% - Accent2 2 2 2 2 2 3 2 2 3" xfId="23559"/>
    <cellStyle name="40% - Accent2 2 2 2 2 2 3 2 3" xfId="7223"/>
    <cellStyle name="40% - Accent2 2 2 2 2 2 3 2 4" xfId="20976"/>
    <cellStyle name="40% - Accent2 2 2 2 2 2 3 3" xfId="7224"/>
    <cellStyle name="40% - Accent2 2 2 2 2 2 3 3 2" xfId="7225"/>
    <cellStyle name="40% - Accent2 2 2 2 2 2 3 3 3" xfId="22269"/>
    <cellStyle name="40% - Accent2 2 2 2 2 2 3 4" xfId="7226"/>
    <cellStyle name="40% - Accent2 2 2 2 2 2 3 5" xfId="19682"/>
    <cellStyle name="40% - Accent2 2 2 2 2 2 4" xfId="7227"/>
    <cellStyle name="40% - Accent2 2 2 2 2 2 4 2" xfId="7228"/>
    <cellStyle name="40% - Accent2 2 2 2 2 2 4 2 2" xfId="7229"/>
    <cellStyle name="40% - Accent2 2 2 2 2 2 4 2 3" xfId="22914"/>
    <cellStyle name="40% - Accent2 2 2 2 2 2 4 3" xfId="7230"/>
    <cellStyle name="40% - Accent2 2 2 2 2 2 4 4" xfId="20331"/>
    <cellStyle name="40% - Accent2 2 2 2 2 2 5" xfId="7231"/>
    <cellStyle name="40% - Accent2 2 2 2 2 2 5 2" xfId="7232"/>
    <cellStyle name="40% - Accent2 2 2 2 2 2 5 3" xfId="21624"/>
    <cellStyle name="40% - Accent2 2 2 2 2 2 6" xfId="7233"/>
    <cellStyle name="40% - Accent2 2 2 2 2 2 7" xfId="19030"/>
    <cellStyle name="40% - Accent2 2 2 2 2 3" xfId="7234"/>
    <cellStyle name="40% - Accent2 2 2 2 2 3 2" xfId="7235"/>
    <cellStyle name="40% - Accent2 2 2 2 2 3 2 2" xfId="7236"/>
    <cellStyle name="40% - Accent2 2 2 2 2 3 2 2 2" xfId="7237"/>
    <cellStyle name="40% - Accent2 2 2 2 2 3 2 2 2 2" xfId="7238"/>
    <cellStyle name="40% - Accent2 2 2 2 2 3 2 2 2 3" xfId="23720"/>
    <cellStyle name="40% - Accent2 2 2 2 2 3 2 2 3" xfId="7239"/>
    <cellStyle name="40% - Accent2 2 2 2 2 3 2 2 4" xfId="21137"/>
    <cellStyle name="40% - Accent2 2 2 2 2 3 2 3" xfId="7240"/>
    <cellStyle name="40% - Accent2 2 2 2 2 3 2 3 2" xfId="7241"/>
    <cellStyle name="40% - Accent2 2 2 2 2 3 2 3 3" xfId="22430"/>
    <cellStyle name="40% - Accent2 2 2 2 2 3 2 4" xfId="7242"/>
    <cellStyle name="40% - Accent2 2 2 2 2 3 2 5" xfId="19843"/>
    <cellStyle name="40% - Accent2 2 2 2 2 3 3" xfId="7243"/>
    <cellStyle name="40% - Accent2 2 2 2 2 3 3 2" xfId="7244"/>
    <cellStyle name="40% - Accent2 2 2 2 2 3 3 2 2" xfId="7245"/>
    <cellStyle name="40% - Accent2 2 2 2 2 3 3 2 3" xfId="23075"/>
    <cellStyle name="40% - Accent2 2 2 2 2 3 3 3" xfId="7246"/>
    <cellStyle name="40% - Accent2 2 2 2 2 3 3 4" xfId="20492"/>
    <cellStyle name="40% - Accent2 2 2 2 2 3 4" xfId="7247"/>
    <cellStyle name="40% - Accent2 2 2 2 2 3 4 2" xfId="7248"/>
    <cellStyle name="40% - Accent2 2 2 2 2 3 4 3" xfId="21785"/>
    <cellStyle name="40% - Accent2 2 2 2 2 3 5" xfId="7249"/>
    <cellStyle name="40% - Accent2 2 2 2 2 3 6" xfId="19195"/>
    <cellStyle name="40% - Accent2 2 2 2 2 4" xfId="7250"/>
    <cellStyle name="40% - Accent2 2 2 2 2 4 2" xfId="7251"/>
    <cellStyle name="40% - Accent2 2 2 2 2 4 2 2" xfId="7252"/>
    <cellStyle name="40% - Accent2 2 2 2 2 4 2 2 2" xfId="7253"/>
    <cellStyle name="40% - Accent2 2 2 2 2 4 2 2 3" xfId="23398"/>
    <cellStyle name="40% - Accent2 2 2 2 2 4 2 3" xfId="7254"/>
    <cellStyle name="40% - Accent2 2 2 2 2 4 2 4" xfId="20815"/>
    <cellStyle name="40% - Accent2 2 2 2 2 4 3" xfId="7255"/>
    <cellStyle name="40% - Accent2 2 2 2 2 4 3 2" xfId="7256"/>
    <cellStyle name="40% - Accent2 2 2 2 2 4 3 3" xfId="22108"/>
    <cellStyle name="40% - Accent2 2 2 2 2 4 4" xfId="7257"/>
    <cellStyle name="40% - Accent2 2 2 2 2 4 5" xfId="19521"/>
    <cellStyle name="40% - Accent2 2 2 2 2 5" xfId="7258"/>
    <cellStyle name="40% - Accent2 2 2 2 2 5 2" xfId="7259"/>
    <cellStyle name="40% - Accent2 2 2 2 2 5 2 2" xfId="7260"/>
    <cellStyle name="40% - Accent2 2 2 2 2 5 2 3" xfId="22753"/>
    <cellStyle name="40% - Accent2 2 2 2 2 5 3" xfId="7261"/>
    <cellStyle name="40% - Accent2 2 2 2 2 5 4" xfId="20170"/>
    <cellStyle name="40% - Accent2 2 2 2 2 6" xfId="7262"/>
    <cellStyle name="40% - Accent2 2 2 2 2 6 2" xfId="7263"/>
    <cellStyle name="40% - Accent2 2 2 2 2 6 3" xfId="21463"/>
    <cellStyle name="40% - Accent2 2 2 2 2 7" xfId="7264"/>
    <cellStyle name="40% - Accent2 2 2 2 2 8" xfId="18865"/>
    <cellStyle name="40% - Accent2 2 2 2 3" xfId="7265"/>
    <cellStyle name="40% - Accent2 2 2 2 3 2" xfId="7266"/>
    <cellStyle name="40% - Accent2 2 2 2 3 2 2" xfId="7267"/>
    <cellStyle name="40% - Accent2 2 2 2 3 2 2 2" xfId="7268"/>
    <cellStyle name="40% - Accent2 2 2 2 3 2 2 2 2" xfId="7269"/>
    <cellStyle name="40% - Accent2 2 2 2 3 2 2 2 2 2" xfId="7270"/>
    <cellStyle name="40% - Accent2 2 2 2 3 2 2 2 2 3" xfId="23801"/>
    <cellStyle name="40% - Accent2 2 2 2 3 2 2 2 3" xfId="7271"/>
    <cellStyle name="40% - Accent2 2 2 2 3 2 2 2 4" xfId="21218"/>
    <cellStyle name="40% - Accent2 2 2 2 3 2 2 3" xfId="7272"/>
    <cellStyle name="40% - Accent2 2 2 2 3 2 2 3 2" xfId="7273"/>
    <cellStyle name="40% - Accent2 2 2 2 3 2 2 3 3" xfId="22511"/>
    <cellStyle name="40% - Accent2 2 2 2 3 2 2 4" xfId="7274"/>
    <cellStyle name="40% - Accent2 2 2 2 3 2 2 5" xfId="19924"/>
    <cellStyle name="40% - Accent2 2 2 2 3 2 3" xfId="7275"/>
    <cellStyle name="40% - Accent2 2 2 2 3 2 3 2" xfId="7276"/>
    <cellStyle name="40% - Accent2 2 2 2 3 2 3 2 2" xfId="7277"/>
    <cellStyle name="40% - Accent2 2 2 2 3 2 3 2 3" xfId="23156"/>
    <cellStyle name="40% - Accent2 2 2 2 3 2 3 3" xfId="7278"/>
    <cellStyle name="40% - Accent2 2 2 2 3 2 3 4" xfId="20573"/>
    <cellStyle name="40% - Accent2 2 2 2 3 2 4" xfId="7279"/>
    <cellStyle name="40% - Accent2 2 2 2 3 2 4 2" xfId="7280"/>
    <cellStyle name="40% - Accent2 2 2 2 3 2 4 3" xfId="21866"/>
    <cellStyle name="40% - Accent2 2 2 2 3 2 5" xfId="7281"/>
    <cellStyle name="40% - Accent2 2 2 2 3 2 6" xfId="19276"/>
    <cellStyle name="40% - Accent2 2 2 2 3 3" xfId="7282"/>
    <cellStyle name="40% - Accent2 2 2 2 3 3 2" xfId="7283"/>
    <cellStyle name="40% - Accent2 2 2 2 3 3 2 2" xfId="7284"/>
    <cellStyle name="40% - Accent2 2 2 2 3 3 2 2 2" xfId="7285"/>
    <cellStyle name="40% - Accent2 2 2 2 3 3 2 2 3" xfId="23479"/>
    <cellStyle name="40% - Accent2 2 2 2 3 3 2 3" xfId="7286"/>
    <cellStyle name="40% - Accent2 2 2 2 3 3 2 4" xfId="20896"/>
    <cellStyle name="40% - Accent2 2 2 2 3 3 3" xfId="7287"/>
    <cellStyle name="40% - Accent2 2 2 2 3 3 3 2" xfId="7288"/>
    <cellStyle name="40% - Accent2 2 2 2 3 3 3 3" xfId="22189"/>
    <cellStyle name="40% - Accent2 2 2 2 3 3 4" xfId="7289"/>
    <cellStyle name="40% - Accent2 2 2 2 3 3 5" xfId="19602"/>
    <cellStyle name="40% - Accent2 2 2 2 3 4" xfId="7290"/>
    <cellStyle name="40% - Accent2 2 2 2 3 4 2" xfId="7291"/>
    <cellStyle name="40% - Accent2 2 2 2 3 4 2 2" xfId="7292"/>
    <cellStyle name="40% - Accent2 2 2 2 3 4 2 3" xfId="22834"/>
    <cellStyle name="40% - Accent2 2 2 2 3 4 3" xfId="7293"/>
    <cellStyle name="40% - Accent2 2 2 2 3 4 4" xfId="20251"/>
    <cellStyle name="40% - Accent2 2 2 2 3 5" xfId="7294"/>
    <cellStyle name="40% - Accent2 2 2 2 3 5 2" xfId="7295"/>
    <cellStyle name="40% - Accent2 2 2 2 3 5 3" xfId="21544"/>
    <cellStyle name="40% - Accent2 2 2 2 3 6" xfId="7296"/>
    <cellStyle name="40% - Accent2 2 2 2 3 7" xfId="18950"/>
    <cellStyle name="40% - Accent2 2 2 2 4" xfId="7297"/>
    <cellStyle name="40% - Accent2 2 2 2 4 2" xfId="7298"/>
    <cellStyle name="40% - Accent2 2 2 2 4 2 2" xfId="7299"/>
    <cellStyle name="40% - Accent2 2 2 2 4 2 2 2" xfId="7300"/>
    <cellStyle name="40% - Accent2 2 2 2 4 2 2 2 2" xfId="7301"/>
    <cellStyle name="40% - Accent2 2 2 2 4 2 2 2 3" xfId="23640"/>
    <cellStyle name="40% - Accent2 2 2 2 4 2 2 3" xfId="7302"/>
    <cellStyle name="40% - Accent2 2 2 2 4 2 2 4" xfId="21057"/>
    <cellStyle name="40% - Accent2 2 2 2 4 2 3" xfId="7303"/>
    <cellStyle name="40% - Accent2 2 2 2 4 2 3 2" xfId="7304"/>
    <cellStyle name="40% - Accent2 2 2 2 4 2 3 3" xfId="22350"/>
    <cellStyle name="40% - Accent2 2 2 2 4 2 4" xfId="7305"/>
    <cellStyle name="40% - Accent2 2 2 2 4 2 5" xfId="19763"/>
    <cellStyle name="40% - Accent2 2 2 2 4 3" xfId="7306"/>
    <cellStyle name="40% - Accent2 2 2 2 4 3 2" xfId="7307"/>
    <cellStyle name="40% - Accent2 2 2 2 4 3 2 2" xfId="7308"/>
    <cellStyle name="40% - Accent2 2 2 2 4 3 2 3" xfId="22995"/>
    <cellStyle name="40% - Accent2 2 2 2 4 3 3" xfId="7309"/>
    <cellStyle name="40% - Accent2 2 2 2 4 3 4" xfId="20412"/>
    <cellStyle name="40% - Accent2 2 2 2 4 4" xfId="7310"/>
    <cellStyle name="40% - Accent2 2 2 2 4 4 2" xfId="7311"/>
    <cellStyle name="40% - Accent2 2 2 2 4 4 3" xfId="21705"/>
    <cellStyle name="40% - Accent2 2 2 2 4 5" xfId="7312"/>
    <cellStyle name="40% - Accent2 2 2 2 4 6" xfId="19115"/>
    <cellStyle name="40% - Accent2 2 2 2 5" xfId="7313"/>
    <cellStyle name="40% - Accent2 2 2 2 5 2" xfId="7314"/>
    <cellStyle name="40% - Accent2 2 2 2 5 2 2" xfId="7315"/>
    <cellStyle name="40% - Accent2 2 2 2 5 2 2 2" xfId="7316"/>
    <cellStyle name="40% - Accent2 2 2 2 5 2 2 3" xfId="23317"/>
    <cellStyle name="40% - Accent2 2 2 2 5 2 3" xfId="7317"/>
    <cellStyle name="40% - Accent2 2 2 2 5 2 4" xfId="20734"/>
    <cellStyle name="40% - Accent2 2 2 2 5 3" xfId="7318"/>
    <cellStyle name="40% - Accent2 2 2 2 5 3 2" xfId="7319"/>
    <cellStyle name="40% - Accent2 2 2 2 5 3 3" xfId="22027"/>
    <cellStyle name="40% - Accent2 2 2 2 5 4" xfId="7320"/>
    <cellStyle name="40% - Accent2 2 2 2 5 5" xfId="19441"/>
    <cellStyle name="40% - Accent2 2 2 2 6" xfId="7321"/>
    <cellStyle name="40% - Accent2 2 2 2 6 2" xfId="7322"/>
    <cellStyle name="40% - Accent2 2 2 2 6 2 2" xfId="7323"/>
    <cellStyle name="40% - Accent2 2 2 2 6 2 3" xfId="22672"/>
    <cellStyle name="40% - Accent2 2 2 2 6 3" xfId="7324"/>
    <cellStyle name="40% - Accent2 2 2 2 6 4" xfId="20089"/>
    <cellStyle name="40% - Accent2 2 2 2 7" xfId="7325"/>
    <cellStyle name="40% - Accent2 2 2 2 7 2" xfId="7326"/>
    <cellStyle name="40% - Accent2 2 2 2 7 3" xfId="21382"/>
    <cellStyle name="40% - Accent2 2 2 2 8" xfId="7327"/>
    <cellStyle name="40% - Accent2 2 2 2 9" xfId="18768"/>
    <cellStyle name="40% - Accent2 2 2 3" xfId="7328"/>
    <cellStyle name="40% - Accent2 2 2 3 2" xfId="7329"/>
    <cellStyle name="40% - Accent2 2 2 3 2 2" xfId="7330"/>
    <cellStyle name="40% - Accent2 2 2 3 2 2 2" xfId="7331"/>
    <cellStyle name="40% - Accent2 2 2 3 2 2 2 2" xfId="7332"/>
    <cellStyle name="40% - Accent2 2 2 3 2 2 2 2 2" xfId="7333"/>
    <cellStyle name="40% - Accent2 2 2 3 2 2 2 2 2 2" xfId="7334"/>
    <cellStyle name="40% - Accent2 2 2 3 2 2 2 2 2 3" xfId="23841"/>
    <cellStyle name="40% - Accent2 2 2 3 2 2 2 2 3" xfId="7335"/>
    <cellStyle name="40% - Accent2 2 2 3 2 2 2 2 4" xfId="21258"/>
    <cellStyle name="40% - Accent2 2 2 3 2 2 2 3" xfId="7336"/>
    <cellStyle name="40% - Accent2 2 2 3 2 2 2 3 2" xfId="7337"/>
    <cellStyle name="40% - Accent2 2 2 3 2 2 2 3 3" xfId="22551"/>
    <cellStyle name="40% - Accent2 2 2 3 2 2 2 4" xfId="7338"/>
    <cellStyle name="40% - Accent2 2 2 3 2 2 2 5" xfId="19964"/>
    <cellStyle name="40% - Accent2 2 2 3 2 2 3" xfId="7339"/>
    <cellStyle name="40% - Accent2 2 2 3 2 2 3 2" xfId="7340"/>
    <cellStyle name="40% - Accent2 2 2 3 2 2 3 2 2" xfId="7341"/>
    <cellStyle name="40% - Accent2 2 2 3 2 2 3 2 3" xfId="23196"/>
    <cellStyle name="40% - Accent2 2 2 3 2 2 3 3" xfId="7342"/>
    <cellStyle name="40% - Accent2 2 2 3 2 2 3 4" xfId="20613"/>
    <cellStyle name="40% - Accent2 2 2 3 2 2 4" xfId="7343"/>
    <cellStyle name="40% - Accent2 2 2 3 2 2 4 2" xfId="7344"/>
    <cellStyle name="40% - Accent2 2 2 3 2 2 4 3" xfId="21906"/>
    <cellStyle name="40% - Accent2 2 2 3 2 2 5" xfId="7345"/>
    <cellStyle name="40% - Accent2 2 2 3 2 2 6" xfId="19316"/>
    <cellStyle name="40% - Accent2 2 2 3 2 3" xfId="7346"/>
    <cellStyle name="40% - Accent2 2 2 3 2 3 2" xfId="7347"/>
    <cellStyle name="40% - Accent2 2 2 3 2 3 2 2" xfId="7348"/>
    <cellStyle name="40% - Accent2 2 2 3 2 3 2 2 2" xfId="7349"/>
    <cellStyle name="40% - Accent2 2 2 3 2 3 2 2 3" xfId="23519"/>
    <cellStyle name="40% - Accent2 2 2 3 2 3 2 3" xfId="7350"/>
    <cellStyle name="40% - Accent2 2 2 3 2 3 2 4" xfId="20936"/>
    <cellStyle name="40% - Accent2 2 2 3 2 3 3" xfId="7351"/>
    <cellStyle name="40% - Accent2 2 2 3 2 3 3 2" xfId="7352"/>
    <cellStyle name="40% - Accent2 2 2 3 2 3 3 3" xfId="22229"/>
    <cellStyle name="40% - Accent2 2 2 3 2 3 4" xfId="7353"/>
    <cellStyle name="40% - Accent2 2 2 3 2 3 5" xfId="19642"/>
    <cellStyle name="40% - Accent2 2 2 3 2 4" xfId="7354"/>
    <cellStyle name="40% - Accent2 2 2 3 2 4 2" xfId="7355"/>
    <cellStyle name="40% - Accent2 2 2 3 2 4 2 2" xfId="7356"/>
    <cellStyle name="40% - Accent2 2 2 3 2 4 2 3" xfId="22874"/>
    <cellStyle name="40% - Accent2 2 2 3 2 4 3" xfId="7357"/>
    <cellStyle name="40% - Accent2 2 2 3 2 4 4" xfId="20291"/>
    <cellStyle name="40% - Accent2 2 2 3 2 5" xfId="7358"/>
    <cellStyle name="40% - Accent2 2 2 3 2 5 2" xfId="7359"/>
    <cellStyle name="40% - Accent2 2 2 3 2 5 3" xfId="21584"/>
    <cellStyle name="40% - Accent2 2 2 3 2 6" xfId="7360"/>
    <cellStyle name="40% - Accent2 2 2 3 2 7" xfId="18990"/>
    <cellStyle name="40% - Accent2 2 2 3 3" xfId="7361"/>
    <cellStyle name="40% - Accent2 2 2 3 3 2" xfId="7362"/>
    <cellStyle name="40% - Accent2 2 2 3 3 2 2" xfId="7363"/>
    <cellStyle name="40% - Accent2 2 2 3 3 2 2 2" xfId="7364"/>
    <cellStyle name="40% - Accent2 2 2 3 3 2 2 2 2" xfId="7365"/>
    <cellStyle name="40% - Accent2 2 2 3 3 2 2 2 3" xfId="23680"/>
    <cellStyle name="40% - Accent2 2 2 3 3 2 2 3" xfId="7366"/>
    <cellStyle name="40% - Accent2 2 2 3 3 2 2 4" xfId="21097"/>
    <cellStyle name="40% - Accent2 2 2 3 3 2 3" xfId="7367"/>
    <cellStyle name="40% - Accent2 2 2 3 3 2 3 2" xfId="7368"/>
    <cellStyle name="40% - Accent2 2 2 3 3 2 3 3" xfId="22390"/>
    <cellStyle name="40% - Accent2 2 2 3 3 2 4" xfId="7369"/>
    <cellStyle name="40% - Accent2 2 2 3 3 2 5" xfId="19803"/>
    <cellStyle name="40% - Accent2 2 2 3 3 3" xfId="7370"/>
    <cellStyle name="40% - Accent2 2 2 3 3 3 2" xfId="7371"/>
    <cellStyle name="40% - Accent2 2 2 3 3 3 2 2" xfId="7372"/>
    <cellStyle name="40% - Accent2 2 2 3 3 3 2 3" xfId="23035"/>
    <cellStyle name="40% - Accent2 2 2 3 3 3 3" xfId="7373"/>
    <cellStyle name="40% - Accent2 2 2 3 3 3 4" xfId="20452"/>
    <cellStyle name="40% - Accent2 2 2 3 3 4" xfId="7374"/>
    <cellStyle name="40% - Accent2 2 2 3 3 4 2" xfId="7375"/>
    <cellStyle name="40% - Accent2 2 2 3 3 4 3" xfId="21745"/>
    <cellStyle name="40% - Accent2 2 2 3 3 5" xfId="7376"/>
    <cellStyle name="40% - Accent2 2 2 3 3 6" xfId="19155"/>
    <cellStyle name="40% - Accent2 2 2 3 4" xfId="7377"/>
    <cellStyle name="40% - Accent2 2 2 3 4 2" xfId="7378"/>
    <cellStyle name="40% - Accent2 2 2 3 4 2 2" xfId="7379"/>
    <cellStyle name="40% - Accent2 2 2 3 4 2 2 2" xfId="7380"/>
    <cellStyle name="40% - Accent2 2 2 3 4 2 2 3" xfId="23358"/>
    <cellStyle name="40% - Accent2 2 2 3 4 2 3" xfId="7381"/>
    <cellStyle name="40% - Accent2 2 2 3 4 2 4" xfId="20775"/>
    <cellStyle name="40% - Accent2 2 2 3 4 3" xfId="7382"/>
    <cellStyle name="40% - Accent2 2 2 3 4 3 2" xfId="7383"/>
    <cellStyle name="40% - Accent2 2 2 3 4 3 3" xfId="22068"/>
    <cellStyle name="40% - Accent2 2 2 3 4 4" xfId="7384"/>
    <cellStyle name="40% - Accent2 2 2 3 4 5" xfId="19481"/>
    <cellStyle name="40% - Accent2 2 2 3 5" xfId="7385"/>
    <cellStyle name="40% - Accent2 2 2 3 5 2" xfId="7386"/>
    <cellStyle name="40% - Accent2 2 2 3 5 2 2" xfId="7387"/>
    <cellStyle name="40% - Accent2 2 2 3 5 2 3" xfId="22713"/>
    <cellStyle name="40% - Accent2 2 2 3 5 3" xfId="7388"/>
    <cellStyle name="40% - Accent2 2 2 3 5 4" xfId="20130"/>
    <cellStyle name="40% - Accent2 2 2 3 6" xfId="7389"/>
    <cellStyle name="40% - Accent2 2 2 3 6 2" xfId="7390"/>
    <cellStyle name="40% - Accent2 2 2 3 6 3" xfId="21423"/>
    <cellStyle name="40% - Accent2 2 2 3 7" xfId="7391"/>
    <cellStyle name="40% - Accent2 2 2 3 8" xfId="18824"/>
    <cellStyle name="40% - Accent2 2 2 4" xfId="7392"/>
    <cellStyle name="40% - Accent2 2 2 4 2" xfId="7393"/>
    <cellStyle name="40% - Accent2 2 2 4 2 2" xfId="7394"/>
    <cellStyle name="40% - Accent2 2 2 4 2 2 2" xfId="7395"/>
    <cellStyle name="40% - Accent2 2 2 4 2 2 2 2" xfId="7396"/>
    <cellStyle name="40% - Accent2 2 2 4 2 2 2 2 2" xfId="7397"/>
    <cellStyle name="40% - Accent2 2 2 4 2 2 2 2 3" xfId="23761"/>
    <cellStyle name="40% - Accent2 2 2 4 2 2 2 3" xfId="7398"/>
    <cellStyle name="40% - Accent2 2 2 4 2 2 2 4" xfId="21178"/>
    <cellStyle name="40% - Accent2 2 2 4 2 2 3" xfId="7399"/>
    <cellStyle name="40% - Accent2 2 2 4 2 2 3 2" xfId="7400"/>
    <cellStyle name="40% - Accent2 2 2 4 2 2 3 3" xfId="22471"/>
    <cellStyle name="40% - Accent2 2 2 4 2 2 4" xfId="7401"/>
    <cellStyle name="40% - Accent2 2 2 4 2 2 5" xfId="19884"/>
    <cellStyle name="40% - Accent2 2 2 4 2 3" xfId="7402"/>
    <cellStyle name="40% - Accent2 2 2 4 2 3 2" xfId="7403"/>
    <cellStyle name="40% - Accent2 2 2 4 2 3 2 2" xfId="7404"/>
    <cellStyle name="40% - Accent2 2 2 4 2 3 2 3" xfId="23116"/>
    <cellStyle name="40% - Accent2 2 2 4 2 3 3" xfId="7405"/>
    <cellStyle name="40% - Accent2 2 2 4 2 3 4" xfId="20533"/>
    <cellStyle name="40% - Accent2 2 2 4 2 4" xfId="7406"/>
    <cellStyle name="40% - Accent2 2 2 4 2 4 2" xfId="7407"/>
    <cellStyle name="40% - Accent2 2 2 4 2 4 3" xfId="21826"/>
    <cellStyle name="40% - Accent2 2 2 4 2 5" xfId="7408"/>
    <cellStyle name="40% - Accent2 2 2 4 2 6" xfId="19236"/>
    <cellStyle name="40% - Accent2 2 2 4 3" xfId="7409"/>
    <cellStyle name="40% - Accent2 2 2 4 3 2" xfId="7410"/>
    <cellStyle name="40% - Accent2 2 2 4 3 2 2" xfId="7411"/>
    <cellStyle name="40% - Accent2 2 2 4 3 2 2 2" xfId="7412"/>
    <cellStyle name="40% - Accent2 2 2 4 3 2 2 3" xfId="23439"/>
    <cellStyle name="40% - Accent2 2 2 4 3 2 3" xfId="7413"/>
    <cellStyle name="40% - Accent2 2 2 4 3 2 4" xfId="20856"/>
    <cellStyle name="40% - Accent2 2 2 4 3 3" xfId="7414"/>
    <cellStyle name="40% - Accent2 2 2 4 3 3 2" xfId="7415"/>
    <cellStyle name="40% - Accent2 2 2 4 3 3 3" xfId="22149"/>
    <cellStyle name="40% - Accent2 2 2 4 3 4" xfId="7416"/>
    <cellStyle name="40% - Accent2 2 2 4 3 5" xfId="19562"/>
    <cellStyle name="40% - Accent2 2 2 4 4" xfId="7417"/>
    <cellStyle name="40% - Accent2 2 2 4 4 2" xfId="7418"/>
    <cellStyle name="40% - Accent2 2 2 4 4 2 2" xfId="7419"/>
    <cellStyle name="40% - Accent2 2 2 4 4 2 3" xfId="22794"/>
    <cellStyle name="40% - Accent2 2 2 4 4 3" xfId="7420"/>
    <cellStyle name="40% - Accent2 2 2 4 4 4" xfId="20211"/>
    <cellStyle name="40% - Accent2 2 2 4 5" xfId="7421"/>
    <cellStyle name="40% - Accent2 2 2 4 5 2" xfId="7422"/>
    <cellStyle name="40% - Accent2 2 2 4 5 3" xfId="21504"/>
    <cellStyle name="40% - Accent2 2 2 4 6" xfId="7423"/>
    <cellStyle name="40% - Accent2 2 2 4 7" xfId="18910"/>
    <cellStyle name="40% - Accent2 2 2 5" xfId="7424"/>
    <cellStyle name="40% - Accent2 2 2 5 2" xfId="7425"/>
    <cellStyle name="40% - Accent2 2 2 5 2 2" xfId="7426"/>
    <cellStyle name="40% - Accent2 2 2 5 2 2 2" xfId="7427"/>
    <cellStyle name="40% - Accent2 2 2 5 2 2 2 2" xfId="7428"/>
    <cellStyle name="40% - Accent2 2 2 5 2 2 2 3" xfId="23600"/>
    <cellStyle name="40% - Accent2 2 2 5 2 2 3" xfId="7429"/>
    <cellStyle name="40% - Accent2 2 2 5 2 2 4" xfId="21017"/>
    <cellStyle name="40% - Accent2 2 2 5 2 3" xfId="7430"/>
    <cellStyle name="40% - Accent2 2 2 5 2 3 2" xfId="7431"/>
    <cellStyle name="40% - Accent2 2 2 5 2 3 3" xfId="22310"/>
    <cellStyle name="40% - Accent2 2 2 5 2 4" xfId="7432"/>
    <cellStyle name="40% - Accent2 2 2 5 2 5" xfId="19723"/>
    <cellStyle name="40% - Accent2 2 2 5 3" xfId="7433"/>
    <cellStyle name="40% - Accent2 2 2 5 3 2" xfId="7434"/>
    <cellStyle name="40% - Accent2 2 2 5 3 2 2" xfId="7435"/>
    <cellStyle name="40% - Accent2 2 2 5 3 2 3" xfId="22955"/>
    <cellStyle name="40% - Accent2 2 2 5 3 3" xfId="7436"/>
    <cellStyle name="40% - Accent2 2 2 5 3 4" xfId="20372"/>
    <cellStyle name="40% - Accent2 2 2 5 4" xfId="7437"/>
    <cellStyle name="40% - Accent2 2 2 5 4 2" xfId="7438"/>
    <cellStyle name="40% - Accent2 2 2 5 4 3" xfId="21665"/>
    <cellStyle name="40% - Accent2 2 2 5 5" xfId="7439"/>
    <cellStyle name="40% - Accent2 2 2 5 6" xfId="19075"/>
    <cellStyle name="40% - Accent2 2 2 6" xfId="7440"/>
    <cellStyle name="40% - Accent2 2 2 6 2" xfId="7441"/>
    <cellStyle name="40% - Accent2 2 2 6 2 2" xfId="7442"/>
    <cellStyle name="40% - Accent2 2 2 6 2 2 2" xfId="7443"/>
    <cellStyle name="40% - Accent2 2 2 6 2 2 3" xfId="23277"/>
    <cellStyle name="40% - Accent2 2 2 6 2 3" xfId="7444"/>
    <cellStyle name="40% - Accent2 2 2 6 2 4" xfId="20694"/>
    <cellStyle name="40% - Accent2 2 2 6 3" xfId="7445"/>
    <cellStyle name="40% - Accent2 2 2 6 3 2" xfId="7446"/>
    <cellStyle name="40% - Accent2 2 2 6 3 3" xfId="21987"/>
    <cellStyle name="40% - Accent2 2 2 6 4" xfId="7447"/>
    <cellStyle name="40% - Accent2 2 2 6 5" xfId="19401"/>
    <cellStyle name="40% - Accent2 2 2 7" xfId="7448"/>
    <cellStyle name="40% - Accent2 2 2 7 2" xfId="7449"/>
    <cellStyle name="40% - Accent2 2 2 7 2 2" xfId="7450"/>
    <cellStyle name="40% - Accent2 2 2 7 2 3" xfId="22632"/>
    <cellStyle name="40% - Accent2 2 2 7 3" xfId="7451"/>
    <cellStyle name="40% - Accent2 2 2 7 4" xfId="20049"/>
    <cellStyle name="40% - Accent2 2 2 8" xfId="7452"/>
    <cellStyle name="40% - Accent2 2 2 8 2" xfId="7453"/>
    <cellStyle name="40% - Accent2 2 2 8 3" xfId="21342"/>
    <cellStyle name="40% - Accent2 2 2 9" xfId="7454"/>
    <cellStyle name="40% - Accent2 2 3" xfId="7455"/>
    <cellStyle name="40% - Accent2 2 3 2" xfId="7456"/>
    <cellStyle name="40% - Accent2 2 3 2 2" xfId="7457"/>
    <cellStyle name="40% - Accent2 2 3 2 2 2" xfId="7458"/>
    <cellStyle name="40% - Accent2 2 3 2 2 2 2" xfId="7459"/>
    <cellStyle name="40% - Accent2 2 3 2 2 2 2 2" xfId="7460"/>
    <cellStyle name="40% - Accent2 2 3 2 2 2 2 2 2" xfId="7461"/>
    <cellStyle name="40% - Accent2 2 3 2 2 2 2 2 2 2" xfId="7462"/>
    <cellStyle name="40% - Accent2 2 3 2 2 2 2 2 2 3" xfId="23861"/>
    <cellStyle name="40% - Accent2 2 3 2 2 2 2 2 3" xfId="7463"/>
    <cellStyle name="40% - Accent2 2 3 2 2 2 2 2 4" xfId="21278"/>
    <cellStyle name="40% - Accent2 2 3 2 2 2 2 3" xfId="7464"/>
    <cellStyle name="40% - Accent2 2 3 2 2 2 2 3 2" xfId="7465"/>
    <cellStyle name="40% - Accent2 2 3 2 2 2 2 3 3" xfId="22571"/>
    <cellStyle name="40% - Accent2 2 3 2 2 2 2 4" xfId="7466"/>
    <cellStyle name="40% - Accent2 2 3 2 2 2 2 5" xfId="19984"/>
    <cellStyle name="40% - Accent2 2 3 2 2 2 3" xfId="7467"/>
    <cellStyle name="40% - Accent2 2 3 2 2 2 3 2" xfId="7468"/>
    <cellStyle name="40% - Accent2 2 3 2 2 2 3 2 2" xfId="7469"/>
    <cellStyle name="40% - Accent2 2 3 2 2 2 3 2 3" xfId="23216"/>
    <cellStyle name="40% - Accent2 2 3 2 2 2 3 3" xfId="7470"/>
    <cellStyle name="40% - Accent2 2 3 2 2 2 3 4" xfId="20633"/>
    <cellStyle name="40% - Accent2 2 3 2 2 2 4" xfId="7471"/>
    <cellStyle name="40% - Accent2 2 3 2 2 2 4 2" xfId="7472"/>
    <cellStyle name="40% - Accent2 2 3 2 2 2 4 3" xfId="21926"/>
    <cellStyle name="40% - Accent2 2 3 2 2 2 5" xfId="7473"/>
    <cellStyle name="40% - Accent2 2 3 2 2 2 6" xfId="19336"/>
    <cellStyle name="40% - Accent2 2 3 2 2 3" xfId="7474"/>
    <cellStyle name="40% - Accent2 2 3 2 2 3 2" xfId="7475"/>
    <cellStyle name="40% - Accent2 2 3 2 2 3 2 2" xfId="7476"/>
    <cellStyle name="40% - Accent2 2 3 2 2 3 2 2 2" xfId="7477"/>
    <cellStyle name="40% - Accent2 2 3 2 2 3 2 2 3" xfId="23539"/>
    <cellStyle name="40% - Accent2 2 3 2 2 3 2 3" xfId="7478"/>
    <cellStyle name="40% - Accent2 2 3 2 2 3 2 4" xfId="20956"/>
    <cellStyle name="40% - Accent2 2 3 2 2 3 3" xfId="7479"/>
    <cellStyle name="40% - Accent2 2 3 2 2 3 3 2" xfId="7480"/>
    <cellStyle name="40% - Accent2 2 3 2 2 3 3 3" xfId="22249"/>
    <cellStyle name="40% - Accent2 2 3 2 2 3 4" xfId="7481"/>
    <cellStyle name="40% - Accent2 2 3 2 2 3 5" xfId="19662"/>
    <cellStyle name="40% - Accent2 2 3 2 2 4" xfId="7482"/>
    <cellStyle name="40% - Accent2 2 3 2 2 4 2" xfId="7483"/>
    <cellStyle name="40% - Accent2 2 3 2 2 4 2 2" xfId="7484"/>
    <cellStyle name="40% - Accent2 2 3 2 2 4 2 3" xfId="22894"/>
    <cellStyle name="40% - Accent2 2 3 2 2 4 3" xfId="7485"/>
    <cellStyle name="40% - Accent2 2 3 2 2 4 4" xfId="20311"/>
    <cellStyle name="40% - Accent2 2 3 2 2 5" xfId="7486"/>
    <cellStyle name="40% - Accent2 2 3 2 2 5 2" xfId="7487"/>
    <cellStyle name="40% - Accent2 2 3 2 2 5 3" xfId="21604"/>
    <cellStyle name="40% - Accent2 2 3 2 2 6" xfId="7488"/>
    <cellStyle name="40% - Accent2 2 3 2 2 7" xfId="19010"/>
    <cellStyle name="40% - Accent2 2 3 2 3" xfId="7489"/>
    <cellStyle name="40% - Accent2 2 3 2 3 2" xfId="7490"/>
    <cellStyle name="40% - Accent2 2 3 2 3 2 2" xfId="7491"/>
    <cellStyle name="40% - Accent2 2 3 2 3 2 2 2" xfId="7492"/>
    <cellStyle name="40% - Accent2 2 3 2 3 2 2 2 2" xfId="7493"/>
    <cellStyle name="40% - Accent2 2 3 2 3 2 2 2 3" xfId="23700"/>
    <cellStyle name="40% - Accent2 2 3 2 3 2 2 3" xfId="7494"/>
    <cellStyle name="40% - Accent2 2 3 2 3 2 2 4" xfId="21117"/>
    <cellStyle name="40% - Accent2 2 3 2 3 2 3" xfId="7495"/>
    <cellStyle name="40% - Accent2 2 3 2 3 2 3 2" xfId="7496"/>
    <cellStyle name="40% - Accent2 2 3 2 3 2 3 3" xfId="22410"/>
    <cellStyle name="40% - Accent2 2 3 2 3 2 4" xfId="7497"/>
    <cellStyle name="40% - Accent2 2 3 2 3 2 5" xfId="19823"/>
    <cellStyle name="40% - Accent2 2 3 2 3 3" xfId="7498"/>
    <cellStyle name="40% - Accent2 2 3 2 3 3 2" xfId="7499"/>
    <cellStyle name="40% - Accent2 2 3 2 3 3 2 2" xfId="7500"/>
    <cellStyle name="40% - Accent2 2 3 2 3 3 2 3" xfId="23055"/>
    <cellStyle name="40% - Accent2 2 3 2 3 3 3" xfId="7501"/>
    <cellStyle name="40% - Accent2 2 3 2 3 3 4" xfId="20472"/>
    <cellStyle name="40% - Accent2 2 3 2 3 4" xfId="7502"/>
    <cellStyle name="40% - Accent2 2 3 2 3 4 2" xfId="7503"/>
    <cellStyle name="40% - Accent2 2 3 2 3 4 3" xfId="21765"/>
    <cellStyle name="40% - Accent2 2 3 2 3 5" xfId="7504"/>
    <cellStyle name="40% - Accent2 2 3 2 3 6" xfId="19175"/>
    <cellStyle name="40% - Accent2 2 3 2 4" xfId="7505"/>
    <cellStyle name="40% - Accent2 2 3 2 4 2" xfId="7506"/>
    <cellStyle name="40% - Accent2 2 3 2 4 2 2" xfId="7507"/>
    <cellStyle name="40% - Accent2 2 3 2 4 2 2 2" xfId="7508"/>
    <cellStyle name="40% - Accent2 2 3 2 4 2 2 3" xfId="23378"/>
    <cellStyle name="40% - Accent2 2 3 2 4 2 3" xfId="7509"/>
    <cellStyle name="40% - Accent2 2 3 2 4 2 4" xfId="20795"/>
    <cellStyle name="40% - Accent2 2 3 2 4 3" xfId="7510"/>
    <cellStyle name="40% - Accent2 2 3 2 4 3 2" xfId="7511"/>
    <cellStyle name="40% - Accent2 2 3 2 4 3 3" xfId="22088"/>
    <cellStyle name="40% - Accent2 2 3 2 4 4" xfId="7512"/>
    <cellStyle name="40% - Accent2 2 3 2 4 5" xfId="19501"/>
    <cellStyle name="40% - Accent2 2 3 2 5" xfId="7513"/>
    <cellStyle name="40% - Accent2 2 3 2 5 2" xfId="7514"/>
    <cellStyle name="40% - Accent2 2 3 2 5 2 2" xfId="7515"/>
    <cellStyle name="40% - Accent2 2 3 2 5 2 3" xfId="22733"/>
    <cellStyle name="40% - Accent2 2 3 2 5 3" xfId="7516"/>
    <cellStyle name="40% - Accent2 2 3 2 5 4" xfId="20150"/>
    <cellStyle name="40% - Accent2 2 3 2 6" xfId="7517"/>
    <cellStyle name="40% - Accent2 2 3 2 6 2" xfId="7518"/>
    <cellStyle name="40% - Accent2 2 3 2 6 3" xfId="21443"/>
    <cellStyle name="40% - Accent2 2 3 2 7" xfId="7519"/>
    <cellStyle name="40% - Accent2 2 3 2 8" xfId="18845"/>
    <cellStyle name="40% - Accent2 2 3 3" xfId="7520"/>
    <cellStyle name="40% - Accent2 2 3 3 2" xfId="7521"/>
    <cellStyle name="40% - Accent2 2 3 3 2 2" xfId="7522"/>
    <cellStyle name="40% - Accent2 2 3 3 2 2 2" xfId="7523"/>
    <cellStyle name="40% - Accent2 2 3 3 2 2 2 2" xfId="7524"/>
    <cellStyle name="40% - Accent2 2 3 3 2 2 2 2 2" xfId="7525"/>
    <cellStyle name="40% - Accent2 2 3 3 2 2 2 2 3" xfId="23781"/>
    <cellStyle name="40% - Accent2 2 3 3 2 2 2 3" xfId="7526"/>
    <cellStyle name="40% - Accent2 2 3 3 2 2 2 4" xfId="21198"/>
    <cellStyle name="40% - Accent2 2 3 3 2 2 3" xfId="7527"/>
    <cellStyle name="40% - Accent2 2 3 3 2 2 3 2" xfId="7528"/>
    <cellStyle name="40% - Accent2 2 3 3 2 2 3 3" xfId="22491"/>
    <cellStyle name="40% - Accent2 2 3 3 2 2 4" xfId="7529"/>
    <cellStyle name="40% - Accent2 2 3 3 2 2 5" xfId="19904"/>
    <cellStyle name="40% - Accent2 2 3 3 2 3" xfId="7530"/>
    <cellStyle name="40% - Accent2 2 3 3 2 3 2" xfId="7531"/>
    <cellStyle name="40% - Accent2 2 3 3 2 3 2 2" xfId="7532"/>
    <cellStyle name="40% - Accent2 2 3 3 2 3 2 3" xfId="23136"/>
    <cellStyle name="40% - Accent2 2 3 3 2 3 3" xfId="7533"/>
    <cellStyle name="40% - Accent2 2 3 3 2 3 4" xfId="20553"/>
    <cellStyle name="40% - Accent2 2 3 3 2 4" xfId="7534"/>
    <cellStyle name="40% - Accent2 2 3 3 2 4 2" xfId="7535"/>
    <cellStyle name="40% - Accent2 2 3 3 2 4 3" xfId="21846"/>
    <cellStyle name="40% - Accent2 2 3 3 2 5" xfId="7536"/>
    <cellStyle name="40% - Accent2 2 3 3 2 6" xfId="19256"/>
    <cellStyle name="40% - Accent2 2 3 3 3" xfId="7537"/>
    <cellStyle name="40% - Accent2 2 3 3 3 2" xfId="7538"/>
    <cellStyle name="40% - Accent2 2 3 3 3 2 2" xfId="7539"/>
    <cellStyle name="40% - Accent2 2 3 3 3 2 2 2" xfId="7540"/>
    <cellStyle name="40% - Accent2 2 3 3 3 2 2 3" xfId="23459"/>
    <cellStyle name="40% - Accent2 2 3 3 3 2 3" xfId="7541"/>
    <cellStyle name="40% - Accent2 2 3 3 3 2 4" xfId="20876"/>
    <cellStyle name="40% - Accent2 2 3 3 3 3" xfId="7542"/>
    <cellStyle name="40% - Accent2 2 3 3 3 3 2" xfId="7543"/>
    <cellStyle name="40% - Accent2 2 3 3 3 3 3" xfId="22169"/>
    <cellStyle name="40% - Accent2 2 3 3 3 4" xfId="7544"/>
    <cellStyle name="40% - Accent2 2 3 3 3 5" xfId="19582"/>
    <cellStyle name="40% - Accent2 2 3 3 4" xfId="7545"/>
    <cellStyle name="40% - Accent2 2 3 3 4 2" xfId="7546"/>
    <cellStyle name="40% - Accent2 2 3 3 4 2 2" xfId="7547"/>
    <cellStyle name="40% - Accent2 2 3 3 4 2 3" xfId="22814"/>
    <cellStyle name="40% - Accent2 2 3 3 4 3" xfId="7548"/>
    <cellStyle name="40% - Accent2 2 3 3 4 4" xfId="20231"/>
    <cellStyle name="40% - Accent2 2 3 3 5" xfId="7549"/>
    <cellStyle name="40% - Accent2 2 3 3 5 2" xfId="7550"/>
    <cellStyle name="40% - Accent2 2 3 3 5 3" xfId="21524"/>
    <cellStyle name="40% - Accent2 2 3 3 6" xfId="7551"/>
    <cellStyle name="40% - Accent2 2 3 3 7" xfId="18930"/>
    <cellStyle name="40% - Accent2 2 3 4" xfId="7552"/>
    <cellStyle name="40% - Accent2 2 3 4 2" xfId="7553"/>
    <cellStyle name="40% - Accent2 2 3 4 2 2" xfId="7554"/>
    <cellStyle name="40% - Accent2 2 3 4 2 2 2" xfId="7555"/>
    <cellStyle name="40% - Accent2 2 3 4 2 2 2 2" xfId="7556"/>
    <cellStyle name="40% - Accent2 2 3 4 2 2 2 3" xfId="23620"/>
    <cellStyle name="40% - Accent2 2 3 4 2 2 3" xfId="7557"/>
    <cellStyle name="40% - Accent2 2 3 4 2 2 4" xfId="21037"/>
    <cellStyle name="40% - Accent2 2 3 4 2 3" xfId="7558"/>
    <cellStyle name="40% - Accent2 2 3 4 2 3 2" xfId="7559"/>
    <cellStyle name="40% - Accent2 2 3 4 2 3 3" xfId="22330"/>
    <cellStyle name="40% - Accent2 2 3 4 2 4" xfId="7560"/>
    <cellStyle name="40% - Accent2 2 3 4 2 5" xfId="19743"/>
    <cellStyle name="40% - Accent2 2 3 4 3" xfId="7561"/>
    <cellStyle name="40% - Accent2 2 3 4 3 2" xfId="7562"/>
    <cellStyle name="40% - Accent2 2 3 4 3 2 2" xfId="7563"/>
    <cellStyle name="40% - Accent2 2 3 4 3 2 3" xfId="22975"/>
    <cellStyle name="40% - Accent2 2 3 4 3 3" xfId="7564"/>
    <cellStyle name="40% - Accent2 2 3 4 3 4" xfId="20392"/>
    <cellStyle name="40% - Accent2 2 3 4 4" xfId="7565"/>
    <cellStyle name="40% - Accent2 2 3 4 4 2" xfId="7566"/>
    <cellStyle name="40% - Accent2 2 3 4 4 3" xfId="21685"/>
    <cellStyle name="40% - Accent2 2 3 4 5" xfId="7567"/>
    <cellStyle name="40% - Accent2 2 3 4 6" xfId="19095"/>
    <cellStyle name="40% - Accent2 2 3 5" xfId="7568"/>
    <cellStyle name="40% - Accent2 2 3 5 2" xfId="7569"/>
    <cellStyle name="40% - Accent2 2 3 5 2 2" xfId="7570"/>
    <cellStyle name="40% - Accent2 2 3 5 2 2 2" xfId="7571"/>
    <cellStyle name="40% - Accent2 2 3 5 2 2 3" xfId="23297"/>
    <cellStyle name="40% - Accent2 2 3 5 2 3" xfId="7572"/>
    <cellStyle name="40% - Accent2 2 3 5 2 4" xfId="20714"/>
    <cellStyle name="40% - Accent2 2 3 5 3" xfId="7573"/>
    <cellStyle name="40% - Accent2 2 3 5 3 2" xfId="7574"/>
    <cellStyle name="40% - Accent2 2 3 5 3 3" xfId="22007"/>
    <cellStyle name="40% - Accent2 2 3 5 4" xfId="7575"/>
    <cellStyle name="40% - Accent2 2 3 5 5" xfId="19421"/>
    <cellStyle name="40% - Accent2 2 3 6" xfId="7576"/>
    <cellStyle name="40% - Accent2 2 3 6 2" xfId="7577"/>
    <cellStyle name="40% - Accent2 2 3 6 2 2" xfId="7578"/>
    <cellStyle name="40% - Accent2 2 3 6 2 3" xfId="22652"/>
    <cellStyle name="40% - Accent2 2 3 6 3" xfId="7579"/>
    <cellStyle name="40% - Accent2 2 3 6 4" xfId="20069"/>
    <cellStyle name="40% - Accent2 2 3 7" xfId="7580"/>
    <cellStyle name="40% - Accent2 2 3 7 2" xfId="7581"/>
    <cellStyle name="40% - Accent2 2 3 7 3" xfId="21362"/>
    <cellStyle name="40% - Accent2 2 3 8" xfId="7582"/>
    <cellStyle name="40% - Accent2 2 3 9" xfId="18748"/>
    <cellStyle name="40% - Accent2 2 4" xfId="7583"/>
    <cellStyle name="40% - Accent2 2 4 2" xfId="7584"/>
    <cellStyle name="40% - Accent2 2 4 2 2" xfId="7585"/>
    <cellStyle name="40% - Accent2 2 4 2 2 2" xfId="7586"/>
    <cellStyle name="40% - Accent2 2 4 2 2 2 2" xfId="7587"/>
    <cellStyle name="40% - Accent2 2 4 2 2 2 2 2" xfId="7588"/>
    <cellStyle name="40% - Accent2 2 4 2 2 2 2 2 2" xfId="7589"/>
    <cellStyle name="40% - Accent2 2 4 2 2 2 2 2 3" xfId="23821"/>
    <cellStyle name="40% - Accent2 2 4 2 2 2 2 3" xfId="7590"/>
    <cellStyle name="40% - Accent2 2 4 2 2 2 2 4" xfId="21238"/>
    <cellStyle name="40% - Accent2 2 4 2 2 2 3" xfId="7591"/>
    <cellStyle name="40% - Accent2 2 4 2 2 2 3 2" xfId="7592"/>
    <cellStyle name="40% - Accent2 2 4 2 2 2 3 3" xfId="22531"/>
    <cellStyle name="40% - Accent2 2 4 2 2 2 4" xfId="7593"/>
    <cellStyle name="40% - Accent2 2 4 2 2 2 5" xfId="19944"/>
    <cellStyle name="40% - Accent2 2 4 2 2 3" xfId="7594"/>
    <cellStyle name="40% - Accent2 2 4 2 2 3 2" xfId="7595"/>
    <cellStyle name="40% - Accent2 2 4 2 2 3 2 2" xfId="7596"/>
    <cellStyle name="40% - Accent2 2 4 2 2 3 2 3" xfId="23176"/>
    <cellStyle name="40% - Accent2 2 4 2 2 3 3" xfId="7597"/>
    <cellStyle name="40% - Accent2 2 4 2 2 3 4" xfId="20593"/>
    <cellStyle name="40% - Accent2 2 4 2 2 4" xfId="7598"/>
    <cellStyle name="40% - Accent2 2 4 2 2 4 2" xfId="7599"/>
    <cellStyle name="40% - Accent2 2 4 2 2 4 3" xfId="21886"/>
    <cellStyle name="40% - Accent2 2 4 2 2 5" xfId="7600"/>
    <cellStyle name="40% - Accent2 2 4 2 2 6" xfId="19296"/>
    <cellStyle name="40% - Accent2 2 4 2 3" xfId="7601"/>
    <cellStyle name="40% - Accent2 2 4 2 3 2" xfId="7602"/>
    <cellStyle name="40% - Accent2 2 4 2 3 2 2" xfId="7603"/>
    <cellStyle name="40% - Accent2 2 4 2 3 2 2 2" xfId="7604"/>
    <cellStyle name="40% - Accent2 2 4 2 3 2 2 3" xfId="23499"/>
    <cellStyle name="40% - Accent2 2 4 2 3 2 3" xfId="7605"/>
    <cellStyle name="40% - Accent2 2 4 2 3 2 4" xfId="20916"/>
    <cellStyle name="40% - Accent2 2 4 2 3 3" xfId="7606"/>
    <cellStyle name="40% - Accent2 2 4 2 3 3 2" xfId="7607"/>
    <cellStyle name="40% - Accent2 2 4 2 3 3 3" xfId="22209"/>
    <cellStyle name="40% - Accent2 2 4 2 3 4" xfId="7608"/>
    <cellStyle name="40% - Accent2 2 4 2 3 5" xfId="19622"/>
    <cellStyle name="40% - Accent2 2 4 2 4" xfId="7609"/>
    <cellStyle name="40% - Accent2 2 4 2 4 2" xfId="7610"/>
    <cellStyle name="40% - Accent2 2 4 2 4 2 2" xfId="7611"/>
    <cellStyle name="40% - Accent2 2 4 2 4 2 3" xfId="22854"/>
    <cellStyle name="40% - Accent2 2 4 2 4 3" xfId="7612"/>
    <cellStyle name="40% - Accent2 2 4 2 4 4" xfId="20271"/>
    <cellStyle name="40% - Accent2 2 4 2 5" xfId="7613"/>
    <cellStyle name="40% - Accent2 2 4 2 5 2" xfId="7614"/>
    <cellStyle name="40% - Accent2 2 4 2 5 3" xfId="21564"/>
    <cellStyle name="40% - Accent2 2 4 2 6" xfId="7615"/>
    <cellStyle name="40% - Accent2 2 4 2 7" xfId="18970"/>
    <cellStyle name="40% - Accent2 2 4 3" xfId="7616"/>
    <cellStyle name="40% - Accent2 2 4 3 2" xfId="7617"/>
    <cellStyle name="40% - Accent2 2 4 3 2 2" xfId="7618"/>
    <cellStyle name="40% - Accent2 2 4 3 2 2 2" xfId="7619"/>
    <cellStyle name="40% - Accent2 2 4 3 2 2 2 2" xfId="7620"/>
    <cellStyle name="40% - Accent2 2 4 3 2 2 2 3" xfId="23660"/>
    <cellStyle name="40% - Accent2 2 4 3 2 2 3" xfId="7621"/>
    <cellStyle name="40% - Accent2 2 4 3 2 2 4" xfId="21077"/>
    <cellStyle name="40% - Accent2 2 4 3 2 3" xfId="7622"/>
    <cellStyle name="40% - Accent2 2 4 3 2 3 2" xfId="7623"/>
    <cellStyle name="40% - Accent2 2 4 3 2 3 3" xfId="22370"/>
    <cellStyle name="40% - Accent2 2 4 3 2 4" xfId="7624"/>
    <cellStyle name="40% - Accent2 2 4 3 2 5" xfId="19783"/>
    <cellStyle name="40% - Accent2 2 4 3 3" xfId="7625"/>
    <cellStyle name="40% - Accent2 2 4 3 3 2" xfId="7626"/>
    <cellStyle name="40% - Accent2 2 4 3 3 2 2" xfId="7627"/>
    <cellStyle name="40% - Accent2 2 4 3 3 2 3" xfId="23015"/>
    <cellStyle name="40% - Accent2 2 4 3 3 3" xfId="7628"/>
    <cellStyle name="40% - Accent2 2 4 3 3 4" xfId="20432"/>
    <cellStyle name="40% - Accent2 2 4 3 4" xfId="7629"/>
    <cellStyle name="40% - Accent2 2 4 3 4 2" xfId="7630"/>
    <cellStyle name="40% - Accent2 2 4 3 4 3" xfId="21725"/>
    <cellStyle name="40% - Accent2 2 4 3 5" xfId="7631"/>
    <cellStyle name="40% - Accent2 2 4 3 6" xfId="19135"/>
    <cellStyle name="40% - Accent2 2 4 4" xfId="7632"/>
    <cellStyle name="40% - Accent2 2 4 4 2" xfId="7633"/>
    <cellStyle name="40% - Accent2 2 4 4 2 2" xfId="7634"/>
    <cellStyle name="40% - Accent2 2 4 4 2 2 2" xfId="7635"/>
    <cellStyle name="40% - Accent2 2 4 4 2 2 3" xfId="23338"/>
    <cellStyle name="40% - Accent2 2 4 4 2 3" xfId="7636"/>
    <cellStyle name="40% - Accent2 2 4 4 2 4" xfId="20755"/>
    <cellStyle name="40% - Accent2 2 4 4 3" xfId="7637"/>
    <cellStyle name="40% - Accent2 2 4 4 3 2" xfId="7638"/>
    <cellStyle name="40% - Accent2 2 4 4 3 3" xfId="22048"/>
    <cellStyle name="40% - Accent2 2 4 4 4" xfId="7639"/>
    <cellStyle name="40% - Accent2 2 4 4 5" xfId="19461"/>
    <cellStyle name="40% - Accent2 2 4 5" xfId="7640"/>
    <cellStyle name="40% - Accent2 2 4 5 2" xfId="7641"/>
    <cellStyle name="40% - Accent2 2 4 5 2 2" xfId="7642"/>
    <cellStyle name="40% - Accent2 2 4 5 2 3" xfId="22693"/>
    <cellStyle name="40% - Accent2 2 4 5 3" xfId="7643"/>
    <cellStyle name="40% - Accent2 2 4 5 4" xfId="20110"/>
    <cellStyle name="40% - Accent2 2 4 6" xfId="7644"/>
    <cellStyle name="40% - Accent2 2 4 6 2" xfId="7645"/>
    <cellStyle name="40% - Accent2 2 4 6 3" xfId="21403"/>
    <cellStyle name="40% - Accent2 2 4 7" xfId="7646"/>
    <cellStyle name="40% - Accent2 2 4 8" xfId="18802"/>
    <cellStyle name="40% - Accent2 2 5" xfId="7647"/>
    <cellStyle name="40% - Accent2 2 5 2" xfId="7648"/>
    <cellStyle name="40% - Accent2 2 5 2 2" xfId="7649"/>
    <cellStyle name="40% - Accent2 2 5 2 2 2" xfId="7650"/>
    <cellStyle name="40% - Accent2 2 5 2 2 2 2" xfId="7651"/>
    <cellStyle name="40% - Accent2 2 5 2 2 2 2 2" xfId="7652"/>
    <cellStyle name="40% - Accent2 2 5 2 2 2 2 3" xfId="23741"/>
    <cellStyle name="40% - Accent2 2 5 2 2 2 3" xfId="7653"/>
    <cellStyle name="40% - Accent2 2 5 2 2 2 4" xfId="21158"/>
    <cellStyle name="40% - Accent2 2 5 2 2 3" xfId="7654"/>
    <cellStyle name="40% - Accent2 2 5 2 2 3 2" xfId="7655"/>
    <cellStyle name="40% - Accent2 2 5 2 2 3 3" xfId="22451"/>
    <cellStyle name="40% - Accent2 2 5 2 2 4" xfId="7656"/>
    <cellStyle name="40% - Accent2 2 5 2 2 5" xfId="19864"/>
    <cellStyle name="40% - Accent2 2 5 2 3" xfId="7657"/>
    <cellStyle name="40% - Accent2 2 5 2 3 2" xfId="7658"/>
    <cellStyle name="40% - Accent2 2 5 2 3 2 2" xfId="7659"/>
    <cellStyle name="40% - Accent2 2 5 2 3 2 3" xfId="23096"/>
    <cellStyle name="40% - Accent2 2 5 2 3 3" xfId="7660"/>
    <cellStyle name="40% - Accent2 2 5 2 3 4" xfId="20513"/>
    <cellStyle name="40% - Accent2 2 5 2 4" xfId="7661"/>
    <cellStyle name="40% - Accent2 2 5 2 4 2" xfId="7662"/>
    <cellStyle name="40% - Accent2 2 5 2 4 3" xfId="21806"/>
    <cellStyle name="40% - Accent2 2 5 2 5" xfId="7663"/>
    <cellStyle name="40% - Accent2 2 5 2 6" xfId="19216"/>
    <cellStyle name="40% - Accent2 2 5 3" xfId="7664"/>
    <cellStyle name="40% - Accent2 2 5 3 2" xfId="7665"/>
    <cellStyle name="40% - Accent2 2 5 3 2 2" xfId="7666"/>
    <cellStyle name="40% - Accent2 2 5 3 2 2 2" xfId="7667"/>
    <cellStyle name="40% - Accent2 2 5 3 2 2 3" xfId="23419"/>
    <cellStyle name="40% - Accent2 2 5 3 2 3" xfId="7668"/>
    <cellStyle name="40% - Accent2 2 5 3 2 4" xfId="20836"/>
    <cellStyle name="40% - Accent2 2 5 3 3" xfId="7669"/>
    <cellStyle name="40% - Accent2 2 5 3 3 2" xfId="7670"/>
    <cellStyle name="40% - Accent2 2 5 3 3 3" xfId="22129"/>
    <cellStyle name="40% - Accent2 2 5 3 4" xfId="7671"/>
    <cellStyle name="40% - Accent2 2 5 3 5" xfId="19542"/>
    <cellStyle name="40% - Accent2 2 5 4" xfId="7672"/>
    <cellStyle name="40% - Accent2 2 5 4 2" xfId="7673"/>
    <cellStyle name="40% - Accent2 2 5 4 2 2" xfId="7674"/>
    <cellStyle name="40% - Accent2 2 5 4 2 3" xfId="22774"/>
    <cellStyle name="40% - Accent2 2 5 4 3" xfId="7675"/>
    <cellStyle name="40% - Accent2 2 5 4 4" xfId="20191"/>
    <cellStyle name="40% - Accent2 2 5 5" xfId="7676"/>
    <cellStyle name="40% - Accent2 2 5 5 2" xfId="7677"/>
    <cellStyle name="40% - Accent2 2 5 5 3" xfId="21484"/>
    <cellStyle name="40% - Accent2 2 5 6" xfId="7678"/>
    <cellStyle name="40% - Accent2 2 5 7" xfId="18890"/>
    <cellStyle name="40% - Accent2 2 6" xfId="7679"/>
    <cellStyle name="40% - Accent2 2 6 2" xfId="7680"/>
    <cellStyle name="40% - Accent2 2 6 2 2" xfId="7681"/>
    <cellStyle name="40% - Accent2 2 6 2 2 2" xfId="7682"/>
    <cellStyle name="40% - Accent2 2 6 2 2 2 2" xfId="7683"/>
    <cellStyle name="40% - Accent2 2 6 2 2 2 3" xfId="23580"/>
    <cellStyle name="40% - Accent2 2 6 2 2 3" xfId="7684"/>
    <cellStyle name="40% - Accent2 2 6 2 2 4" xfId="20997"/>
    <cellStyle name="40% - Accent2 2 6 2 3" xfId="7685"/>
    <cellStyle name="40% - Accent2 2 6 2 3 2" xfId="7686"/>
    <cellStyle name="40% - Accent2 2 6 2 3 3" xfId="22290"/>
    <cellStyle name="40% - Accent2 2 6 2 4" xfId="7687"/>
    <cellStyle name="40% - Accent2 2 6 2 5" xfId="19703"/>
    <cellStyle name="40% - Accent2 2 6 3" xfId="7688"/>
    <cellStyle name="40% - Accent2 2 6 3 2" xfId="7689"/>
    <cellStyle name="40% - Accent2 2 6 3 2 2" xfId="7690"/>
    <cellStyle name="40% - Accent2 2 6 3 2 3" xfId="22935"/>
    <cellStyle name="40% - Accent2 2 6 3 3" xfId="7691"/>
    <cellStyle name="40% - Accent2 2 6 3 4" xfId="20352"/>
    <cellStyle name="40% - Accent2 2 6 4" xfId="7692"/>
    <cellStyle name="40% - Accent2 2 6 4 2" xfId="7693"/>
    <cellStyle name="40% - Accent2 2 6 4 3" xfId="21645"/>
    <cellStyle name="40% - Accent2 2 6 5" xfId="7694"/>
    <cellStyle name="40% - Accent2 2 6 6" xfId="19055"/>
    <cellStyle name="40% - Accent2 2 7" xfId="7695"/>
    <cellStyle name="40% - Accent2 2 7 2" xfId="7696"/>
    <cellStyle name="40% - Accent2 2 7 2 2" xfId="7697"/>
    <cellStyle name="40% - Accent2 2 7 2 2 2" xfId="7698"/>
    <cellStyle name="40% - Accent2 2 7 2 2 3" xfId="23257"/>
    <cellStyle name="40% - Accent2 2 7 2 3" xfId="7699"/>
    <cellStyle name="40% - Accent2 2 7 2 4" xfId="20674"/>
    <cellStyle name="40% - Accent2 2 7 3" xfId="7700"/>
    <cellStyle name="40% - Accent2 2 7 3 2" xfId="7701"/>
    <cellStyle name="40% - Accent2 2 7 3 3" xfId="21967"/>
    <cellStyle name="40% - Accent2 2 7 4" xfId="7702"/>
    <cellStyle name="40% - Accent2 2 7 5" xfId="19381"/>
    <cellStyle name="40% - Accent2 2 8" xfId="7703"/>
    <cellStyle name="40% - Accent2 2 8 2" xfId="7704"/>
    <cellStyle name="40% - Accent2 2 8 2 2" xfId="7705"/>
    <cellStyle name="40% - Accent2 2 8 2 3" xfId="22612"/>
    <cellStyle name="40% - Accent2 2 8 3" xfId="7706"/>
    <cellStyle name="40% - Accent2 2 8 4" xfId="20029"/>
    <cellStyle name="40% - Accent2 2 9" xfId="7707"/>
    <cellStyle name="40% - Accent2 2 9 2" xfId="7708"/>
    <cellStyle name="40% - Accent2 2 9 3" xfId="21322"/>
    <cellStyle name="40% - Accent2 3" xfId="7709"/>
    <cellStyle name="40% - Accent2 3 10" xfId="18710"/>
    <cellStyle name="40% - Accent2 3 2" xfId="7710"/>
    <cellStyle name="40% - Accent2 3 2 2" xfId="7711"/>
    <cellStyle name="40% - Accent2 3 2 2 2" xfId="7712"/>
    <cellStyle name="40% - Accent2 3 2 2 2 2" xfId="7713"/>
    <cellStyle name="40% - Accent2 3 2 2 2 2 2" xfId="7714"/>
    <cellStyle name="40% - Accent2 3 2 2 2 2 2 2" xfId="7715"/>
    <cellStyle name="40% - Accent2 3 2 2 2 2 2 2 2" xfId="7716"/>
    <cellStyle name="40% - Accent2 3 2 2 2 2 2 2 2 2" xfId="7717"/>
    <cellStyle name="40% - Accent2 3 2 2 2 2 2 2 2 3" xfId="23871"/>
    <cellStyle name="40% - Accent2 3 2 2 2 2 2 2 3" xfId="7718"/>
    <cellStyle name="40% - Accent2 3 2 2 2 2 2 2 4" xfId="21288"/>
    <cellStyle name="40% - Accent2 3 2 2 2 2 2 3" xfId="7719"/>
    <cellStyle name="40% - Accent2 3 2 2 2 2 2 3 2" xfId="7720"/>
    <cellStyle name="40% - Accent2 3 2 2 2 2 2 3 3" xfId="22581"/>
    <cellStyle name="40% - Accent2 3 2 2 2 2 2 4" xfId="7721"/>
    <cellStyle name="40% - Accent2 3 2 2 2 2 2 5" xfId="19994"/>
    <cellStyle name="40% - Accent2 3 2 2 2 2 3" xfId="7722"/>
    <cellStyle name="40% - Accent2 3 2 2 2 2 3 2" xfId="7723"/>
    <cellStyle name="40% - Accent2 3 2 2 2 2 3 2 2" xfId="7724"/>
    <cellStyle name="40% - Accent2 3 2 2 2 2 3 2 3" xfId="23226"/>
    <cellStyle name="40% - Accent2 3 2 2 2 2 3 3" xfId="7725"/>
    <cellStyle name="40% - Accent2 3 2 2 2 2 3 4" xfId="20643"/>
    <cellStyle name="40% - Accent2 3 2 2 2 2 4" xfId="7726"/>
    <cellStyle name="40% - Accent2 3 2 2 2 2 4 2" xfId="7727"/>
    <cellStyle name="40% - Accent2 3 2 2 2 2 4 3" xfId="21936"/>
    <cellStyle name="40% - Accent2 3 2 2 2 2 5" xfId="7728"/>
    <cellStyle name="40% - Accent2 3 2 2 2 2 6" xfId="19346"/>
    <cellStyle name="40% - Accent2 3 2 2 2 3" xfId="7729"/>
    <cellStyle name="40% - Accent2 3 2 2 2 3 2" xfId="7730"/>
    <cellStyle name="40% - Accent2 3 2 2 2 3 2 2" xfId="7731"/>
    <cellStyle name="40% - Accent2 3 2 2 2 3 2 2 2" xfId="7732"/>
    <cellStyle name="40% - Accent2 3 2 2 2 3 2 2 3" xfId="23549"/>
    <cellStyle name="40% - Accent2 3 2 2 2 3 2 3" xfId="7733"/>
    <cellStyle name="40% - Accent2 3 2 2 2 3 2 4" xfId="20966"/>
    <cellStyle name="40% - Accent2 3 2 2 2 3 3" xfId="7734"/>
    <cellStyle name="40% - Accent2 3 2 2 2 3 3 2" xfId="7735"/>
    <cellStyle name="40% - Accent2 3 2 2 2 3 3 3" xfId="22259"/>
    <cellStyle name="40% - Accent2 3 2 2 2 3 4" xfId="7736"/>
    <cellStyle name="40% - Accent2 3 2 2 2 3 5" xfId="19672"/>
    <cellStyle name="40% - Accent2 3 2 2 2 4" xfId="7737"/>
    <cellStyle name="40% - Accent2 3 2 2 2 4 2" xfId="7738"/>
    <cellStyle name="40% - Accent2 3 2 2 2 4 2 2" xfId="7739"/>
    <cellStyle name="40% - Accent2 3 2 2 2 4 2 3" xfId="22904"/>
    <cellStyle name="40% - Accent2 3 2 2 2 4 3" xfId="7740"/>
    <cellStyle name="40% - Accent2 3 2 2 2 4 4" xfId="20321"/>
    <cellStyle name="40% - Accent2 3 2 2 2 5" xfId="7741"/>
    <cellStyle name="40% - Accent2 3 2 2 2 5 2" xfId="7742"/>
    <cellStyle name="40% - Accent2 3 2 2 2 5 3" xfId="21614"/>
    <cellStyle name="40% - Accent2 3 2 2 2 6" xfId="7743"/>
    <cellStyle name="40% - Accent2 3 2 2 2 7" xfId="19020"/>
    <cellStyle name="40% - Accent2 3 2 2 3" xfId="7744"/>
    <cellStyle name="40% - Accent2 3 2 2 3 2" xfId="7745"/>
    <cellStyle name="40% - Accent2 3 2 2 3 2 2" xfId="7746"/>
    <cellStyle name="40% - Accent2 3 2 2 3 2 2 2" xfId="7747"/>
    <cellStyle name="40% - Accent2 3 2 2 3 2 2 2 2" xfId="7748"/>
    <cellStyle name="40% - Accent2 3 2 2 3 2 2 2 3" xfId="23710"/>
    <cellStyle name="40% - Accent2 3 2 2 3 2 2 3" xfId="7749"/>
    <cellStyle name="40% - Accent2 3 2 2 3 2 2 4" xfId="21127"/>
    <cellStyle name="40% - Accent2 3 2 2 3 2 3" xfId="7750"/>
    <cellStyle name="40% - Accent2 3 2 2 3 2 3 2" xfId="7751"/>
    <cellStyle name="40% - Accent2 3 2 2 3 2 3 3" xfId="22420"/>
    <cellStyle name="40% - Accent2 3 2 2 3 2 4" xfId="7752"/>
    <cellStyle name="40% - Accent2 3 2 2 3 2 5" xfId="19833"/>
    <cellStyle name="40% - Accent2 3 2 2 3 3" xfId="7753"/>
    <cellStyle name="40% - Accent2 3 2 2 3 3 2" xfId="7754"/>
    <cellStyle name="40% - Accent2 3 2 2 3 3 2 2" xfId="7755"/>
    <cellStyle name="40% - Accent2 3 2 2 3 3 2 3" xfId="23065"/>
    <cellStyle name="40% - Accent2 3 2 2 3 3 3" xfId="7756"/>
    <cellStyle name="40% - Accent2 3 2 2 3 3 4" xfId="20482"/>
    <cellStyle name="40% - Accent2 3 2 2 3 4" xfId="7757"/>
    <cellStyle name="40% - Accent2 3 2 2 3 4 2" xfId="7758"/>
    <cellStyle name="40% - Accent2 3 2 2 3 4 3" xfId="21775"/>
    <cellStyle name="40% - Accent2 3 2 2 3 5" xfId="7759"/>
    <cellStyle name="40% - Accent2 3 2 2 3 6" xfId="19185"/>
    <cellStyle name="40% - Accent2 3 2 2 4" xfId="7760"/>
    <cellStyle name="40% - Accent2 3 2 2 4 2" xfId="7761"/>
    <cellStyle name="40% - Accent2 3 2 2 4 2 2" xfId="7762"/>
    <cellStyle name="40% - Accent2 3 2 2 4 2 2 2" xfId="7763"/>
    <cellStyle name="40% - Accent2 3 2 2 4 2 2 3" xfId="23388"/>
    <cellStyle name="40% - Accent2 3 2 2 4 2 3" xfId="7764"/>
    <cellStyle name="40% - Accent2 3 2 2 4 2 4" xfId="20805"/>
    <cellStyle name="40% - Accent2 3 2 2 4 3" xfId="7765"/>
    <cellStyle name="40% - Accent2 3 2 2 4 3 2" xfId="7766"/>
    <cellStyle name="40% - Accent2 3 2 2 4 3 3" xfId="22098"/>
    <cellStyle name="40% - Accent2 3 2 2 4 4" xfId="7767"/>
    <cellStyle name="40% - Accent2 3 2 2 4 5" xfId="19511"/>
    <cellStyle name="40% - Accent2 3 2 2 5" xfId="7768"/>
    <cellStyle name="40% - Accent2 3 2 2 5 2" xfId="7769"/>
    <cellStyle name="40% - Accent2 3 2 2 5 2 2" xfId="7770"/>
    <cellStyle name="40% - Accent2 3 2 2 5 2 3" xfId="22743"/>
    <cellStyle name="40% - Accent2 3 2 2 5 3" xfId="7771"/>
    <cellStyle name="40% - Accent2 3 2 2 5 4" xfId="20160"/>
    <cellStyle name="40% - Accent2 3 2 2 6" xfId="7772"/>
    <cellStyle name="40% - Accent2 3 2 2 6 2" xfId="7773"/>
    <cellStyle name="40% - Accent2 3 2 2 6 3" xfId="21453"/>
    <cellStyle name="40% - Accent2 3 2 2 7" xfId="7774"/>
    <cellStyle name="40% - Accent2 3 2 2 8" xfId="18855"/>
    <cellStyle name="40% - Accent2 3 2 3" xfId="7775"/>
    <cellStyle name="40% - Accent2 3 2 3 2" xfId="7776"/>
    <cellStyle name="40% - Accent2 3 2 3 2 2" xfId="7777"/>
    <cellStyle name="40% - Accent2 3 2 3 2 2 2" xfId="7778"/>
    <cellStyle name="40% - Accent2 3 2 3 2 2 2 2" xfId="7779"/>
    <cellStyle name="40% - Accent2 3 2 3 2 2 2 2 2" xfId="7780"/>
    <cellStyle name="40% - Accent2 3 2 3 2 2 2 2 3" xfId="23791"/>
    <cellStyle name="40% - Accent2 3 2 3 2 2 2 3" xfId="7781"/>
    <cellStyle name="40% - Accent2 3 2 3 2 2 2 4" xfId="21208"/>
    <cellStyle name="40% - Accent2 3 2 3 2 2 3" xfId="7782"/>
    <cellStyle name="40% - Accent2 3 2 3 2 2 3 2" xfId="7783"/>
    <cellStyle name="40% - Accent2 3 2 3 2 2 3 3" xfId="22501"/>
    <cellStyle name="40% - Accent2 3 2 3 2 2 4" xfId="7784"/>
    <cellStyle name="40% - Accent2 3 2 3 2 2 5" xfId="19914"/>
    <cellStyle name="40% - Accent2 3 2 3 2 3" xfId="7785"/>
    <cellStyle name="40% - Accent2 3 2 3 2 3 2" xfId="7786"/>
    <cellStyle name="40% - Accent2 3 2 3 2 3 2 2" xfId="7787"/>
    <cellStyle name="40% - Accent2 3 2 3 2 3 2 3" xfId="23146"/>
    <cellStyle name="40% - Accent2 3 2 3 2 3 3" xfId="7788"/>
    <cellStyle name="40% - Accent2 3 2 3 2 3 4" xfId="20563"/>
    <cellStyle name="40% - Accent2 3 2 3 2 4" xfId="7789"/>
    <cellStyle name="40% - Accent2 3 2 3 2 4 2" xfId="7790"/>
    <cellStyle name="40% - Accent2 3 2 3 2 4 3" xfId="21856"/>
    <cellStyle name="40% - Accent2 3 2 3 2 5" xfId="7791"/>
    <cellStyle name="40% - Accent2 3 2 3 2 6" xfId="19266"/>
    <cellStyle name="40% - Accent2 3 2 3 3" xfId="7792"/>
    <cellStyle name="40% - Accent2 3 2 3 3 2" xfId="7793"/>
    <cellStyle name="40% - Accent2 3 2 3 3 2 2" xfId="7794"/>
    <cellStyle name="40% - Accent2 3 2 3 3 2 2 2" xfId="7795"/>
    <cellStyle name="40% - Accent2 3 2 3 3 2 2 3" xfId="23469"/>
    <cellStyle name="40% - Accent2 3 2 3 3 2 3" xfId="7796"/>
    <cellStyle name="40% - Accent2 3 2 3 3 2 4" xfId="20886"/>
    <cellStyle name="40% - Accent2 3 2 3 3 3" xfId="7797"/>
    <cellStyle name="40% - Accent2 3 2 3 3 3 2" xfId="7798"/>
    <cellStyle name="40% - Accent2 3 2 3 3 3 3" xfId="22179"/>
    <cellStyle name="40% - Accent2 3 2 3 3 4" xfId="7799"/>
    <cellStyle name="40% - Accent2 3 2 3 3 5" xfId="19592"/>
    <cellStyle name="40% - Accent2 3 2 3 4" xfId="7800"/>
    <cellStyle name="40% - Accent2 3 2 3 4 2" xfId="7801"/>
    <cellStyle name="40% - Accent2 3 2 3 4 2 2" xfId="7802"/>
    <cellStyle name="40% - Accent2 3 2 3 4 2 3" xfId="22824"/>
    <cellStyle name="40% - Accent2 3 2 3 4 3" xfId="7803"/>
    <cellStyle name="40% - Accent2 3 2 3 4 4" xfId="20241"/>
    <cellStyle name="40% - Accent2 3 2 3 5" xfId="7804"/>
    <cellStyle name="40% - Accent2 3 2 3 5 2" xfId="7805"/>
    <cellStyle name="40% - Accent2 3 2 3 5 3" xfId="21534"/>
    <cellStyle name="40% - Accent2 3 2 3 6" xfId="7806"/>
    <cellStyle name="40% - Accent2 3 2 3 7" xfId="18940"/>
    <cellStyle name="40% - Accent2 3 2 4" xfId="7807"/>
    <cellStyle name="40% - Accent2 3 2 4 2" xfId="7808"/>
    <cellStyle name="40% - Accent2 3 2 4 2 2" xfId="7809"/>
    <cellStyle name="40% - Accent2 3 2 4 2 2 2" xfId="7810"/>
    <cellStyle name="40% - Accent2 3 2 4 2 2 2 2" xfId="7811"/>
    <cellStyle name="40% - Accent2 3 2 4 2 2 2 3" xfId="23630"/>
    <cellStyle name="40% - Accent2 3 2 4 2 2 3" xfId="7812"/>
    <cellStyle name="40% - Accent2 3 2 4 2 2 4" xfId="21047"/>
    <cellStyle name="40% - Accent2 3 2 4 2 3" xfId="7813"/>
    <cellStyle name="40% - Accent2 3 2 4 2 3 2" xfId="7814"/>
    <cellStyle name="40% - Accent2 3 2 4 2 3 3" xfId="22340"/>
    <cellStyle name="40% - Accent2 3 2 4 2 4" xfId="7815"/>
    <cellStyle name="40% - Accent2 3 2 4 2 5" xfId="19753"/>
    <cellStyle name="40% - Accent2 3 2 4 3" xfId="7816"/>
    <cellStyle name="40% - Accent2 3 2 4 3 2" xfId="7817"/>
    <cellStyle name="40% - Accent2 3 2 4 3 2 2" xfId="7818"/>
    <cellStyle name="40% - Accent2 3 2 4 3 2 3" xfId="22985"/>
    <cellStyle name="40% - Accent2 3 2 4 3 3" xfId="7819"/>
    <cellStyle name="40% - Accent2 3 2 4 3 4" xfId="20402"/>
    <cellStyle name="40% - Accent2 3 2 4 4" xfId="7820"/>
    <cellStyle name="40% - Accent2 3 2 4 4 2" xfId="7821"/>
    <cellStyle name="40% - Accent2 3 2 4 4 3" xfId="21695"/>
    <cellStyle name="40% - Accent2 3 2 4 5" xfId="7822"/>
    <cellStyle name="40% - Accent2 3 2 4 6" xfId="19105"/>
    <cellStyle name="40% - Accent2 3 2 5" xfId="7823"/>
    <cellStyle name="40% - Accent2 3 2 5 2" xfId="7824"/>
    <cellStyle name="40% - Accent2 3 2 5 2 2" xfId="7825"/>
    <cellStyle name="40% - Accent2 3 2 5 2 2 2" xfId="7826"/>
    <cellStyle name="40% - Accent2 3 2 5 2 2 3" xfId="23307"/>
    <cellStyle name="40% - Accent2 3 2 5 2 3" xfId="7827"/>
    <cellStyle name="40% - Accent2 3 2 5 2 4" xfId="20724"/>
    <cellStyle name="40% - Accent2 3 2 5 3" xfId="7828"/>
    <cellStyle name="40% - Accent2 3 2 5 3 2" xfId="7829"/>
    <cellStyle name="40% - Accent2 3 2 5 3 3" xfId="22017"/>
    <cellStyle name="40% - Accent2 3 2 5 4" xfId="7830"/>
    <cellStyle name="40% - Accent2 3 2 5 5" xfId="19431"/>
    <cellStyle name="40% - Accent2 3 2 6" xfId="7831"/>
    <cellStyle name="40% - Accent2 3 2 6 2" xfId="7832"/>
    <cellStyle name="40% - Accent2 3 2 6 2 2" xfId="7833"/>
    <cellStyle name="40% - Accent2 3 2 6 2 3" xfId="22662"/>
    <cellStyle name="40% - Accent2 3 2 6 3" xfId="7834"/>
    <cellStyle name="40% - Accent2 3 2 6 4" xfId="20079"/>
    <cellStyle name="40% - Accent2 3 2 7" xfId="7835"/>
    <cellStyle name="40% - Accent2 3 2 7 2" xfId="7836"/>
    <cellStyle name="40% - Accent2 3 2 7 3" xfId="21372"/>
    <cellStyle name="40% - Accent2 3 2 8" xfId="7837"/>
    <cellStyle name="40% - Accent2 3 2 9" xfId="18758"/>
    <cellStyle name="40% - Accent2 3 3" xfId="7838"/>
    <cellStyle name="40% - Accent2 3 3 2" xfId="7839"/>
    <cellStyle name="40% - Accent2 3 3 2 2" xfId="7840"/>
    <cellStyle name="40% - Accent2 3 3 2 2 2" xfId="7841"/>
    <cellStyle name="40% - Accent2 3 3 2 2 2 2" xfId="7842"/>
    <cellStyle name="40% - Accent2 3 3 2 2 2 2 2" xfId="7843"/>
    <cellStyle name="40% - Accent2 3 3 2 2 2 2 2 2" xfId="7844"/>
    <cellStyle name="40% - Accent2 3 3 2 2 2 2 2 3" xfId="23831"/>
    <cellStyle name="40% - Accent2 3 3 2 2 2 2 3" xfId="7845"/>
    <cellStyle name="40% - Accent2 3 3 2 2 2 2 4" xfId="21248"/>
    <cellStyle name="40% - Accent2 3 3 2 2 2 3" xfId="7846"/>
    <cellStyle name="40% - Accent2 3 3 2 2 2 3 2" xfId="7847"/>
    <cellStyle name="40% - Accent2 3 3 2 2 2 3 3" xfId="22541"/>
    <cellStyle name="40% - Accent2 3 3 2 2 2 4" xfId="7848"/>
    <cellStyle name="40% - Accent2 3 3 2 2 2 5" xfId="19954"/>
    <cellStyle name="40% - Accent2 3 3 2 2 3" xfId="7849"/>
    <cellStyle name="40% - Accent2 3 3 2 2 3 2" xfId="7850"/>
    <cellStyle name="40% - Accent2 3 3 2 2 3 2 2" xfId="7851"/>
    <cellStyle name="40% - Accent2 3 3 2 2 3 2 3" xfId="23186"/>
    <cellStyle name="40% - Accent2 3 3 2 2 3 3" xfId="7852"/>
    <cellStyle name="40% - Accent2 3 3 2 2 3 4" xfId="20603"/>
    <cellStyle name="40% - Accent2 3 3 2 2 4" xfId="7853"/>
    <cellStyle name="40% - Accent2 3 3 2 2 4 2" xfId="7854"/>
    <cellStyle name="40% - Accent2 3 3 2 2 4 3" xfId="21896"/>
    <cellStyle name="40% - Accent2 3 3 2 2 5" xfId="7855"/>
    <cellStyle name="40% - Accent2 3 3 2 2 6" xfId="19306"/>
    <cellStyle name="40% - Accent2 3 3 2 3" xfId="7856"/>
    <cellStyle name="40% - Accent2 3 3 2 3 2" xfId="7857"/>
    <cellStyle name="40% - Accent2 3 3 2 3 2 2" xfId="7858"/>
    <cellStyle name="40% - Accent2 3 3 2 3 2 2 2" xfId="7859"/>
    <cellStyle name="40% - Accent2 3 3 2 3 2 2 3" xfId="23509"/>
    <cellStyle name="40% - Accent2 3 3 2 3 2 3" xfId="7860"/>
    <cellStyle name="40% - Accent2 3 3 2 3 2 4" xfId="20926"/>
    <cellStyle name="40% - Accent2 3 3 2 3 3" xfId="7861"/>
    <cellStyle name="40% - Accent2 3 3 2 3 3 2" xfId="7862"/>
    <cellStyle name="40% - Accent2 3 3 2 3 3 3" xfId="22219"/>
    <cellStyle name="40% - Accent2 3 3 2 3 4" xfId="7863"/>
    <cellStyle name="40% - Accent2 3 3 2 3 5" xfId="19632"/>
    <cellStyle name="40% - Accent2 3 3 2 4" xfId="7864"/>
    <cellStyle name="40% - Accent2 3 3 2 4 2" xfId="7865"/>
    <cellStyle name="40% - Accent2 3 3 2 4 2 2" xfId="7866"/>
    <cellStyle name="40% - Accent2 3 3 2 4 2 3" xfId="22864"/>
    <cellStyle name="40% - Accent2 3 3 2 4 3" xfId="7867"/>
    <cellStyle name="40% - Accent2 3 3 2 4 4" xfId="20281"/>
    <cellStyle name="40% - Accent2 3 3 2 5" xfId="7868"/>
    <cellStyle name="40% - Accent2 3 3 2 5 2" xfId="7869"/>
    <cellStyle name="40% - Accent2 3 3 2 5 3" xfId="21574"/>
    <cellStyle name="40% - Accent2 3 3 2 6" xfId="7870"/>
    <cellStyle name="40% - Accent2 3 3 2 7" xfId="18980"/>
    <cellStyle name="40% - Accent2 3 3 3" xfId="7871"/>
    <cellStyle name="40% - Accent2 3 3 3 2" xfId="7872"/>
    <cellStyle name="40% - Accent2 3 3 3 2 2" xfId="7873"/>
    <cellStyle name="40% - Accent2 3 3 3 2 2 2" xfId="7874"/>
    <cellStyle name="40% - Accent2 3 3 3 2 2 2 2" xfId="7875"/>
    <cellStyle name="40% - Accent2 3 3 3 2 2 2 3" xfId="23670"/>
    <cellStyle name="40% - Accent2 3 3 3 2 2 3" xfId="7876"/>
    <cellStyle name="40% - Accent2 3 3 3 2 2 4" xfId="21087"/>
    <cellStyle name="40% - Accent2 3 3 3 2 3" xfId="7877"/>
    <cellStyle name="40% - Accent2 3 3 3 2 3 2" xfId="7878"/>
    <cellStyle name="40% - Accent2 3 3 3 2 3 3" xfId="22380"/>
    <cellStyle name="40% - Accent2 3 3 3 2 4" xfId="7879"/>
    <cellStyle name="40% - Accent2 3 3 3 2 5" xfId="19793"/>
    <cellStyle name="40% - Accent2 3 3 3 3" xfId="7880"/>
    <cellStyle name="40% - Accent2 3 3 3 3 2" xfId="7881"/>
    <cellStyle name="40% - Accent2 3 3 3 3 2 2" xfId="7882"/>
    <cellStyle name="40% - Accent2 3 3 3 3 2 3" xfId="23025"/>
    <cellStyle name="40% - Accent2 3 3 3 3 3" xfId="7883"/>
    <cellStyle name="40% - Accent2 3 3 3 3 4" xfId="20442"/>
    <cellStyle name="40% - Accent2 3 3 3 4" xfId="7884"/>
    <cellStyle name="40% - Accent2 3 3 3 4 2" xfId="7885"/>
    <cellStyle name="40% - Accent2 3 3 3 4 3" xfId="21735"/>
    <cellStyle name="40% - Accent2 3 3 3 5" xfId="7886"/>
    <cellStyle name="40% - Accent2 3 3 3 6" xfId="19145"/>
    <cellStyle name="40% - Accent2 3 3 4" xfId="7887"/>
    <cellStyle name="40% - Accent2 3 3 4 2" xfId="7888"/>
    <cellStyle name="40% - Accent2 3 3 4 2 2" xfId="7889"/>
    <cellStyle name="40% - Accent2 3 3 4 2 2 2" xfId="7890"/>
    <cellStyle name="40% - Accent2 3 3 4 2 2 3" xfId="23348"/>
    <cellStyle name="40% - Accent2 3 3 4 2 3" xfId="7891"/>
    <cellStyle name="40% - Accent2 3 3 4 2 4" xfId="20765"/>
    <cellStyle name="40% - Accent2 3 3 4 3" xfId="7892"/>
    <cellStyle name="40% - Accent2 3 3 4 3 2" xfId="7893"/>
    <cellStyle name="40% - Accent2 3 3 4 3 3" xfId="22058"/>
    <cellStyle name="40% - Accent2 3 3 4 4" xfId="7894"/>
    <cellStyle name="40% - Accent2 3 3 4 5" xfId="19471"/>
    <cellStyle name="40% - Accent2 3 3 5" xfId="7895"/>
    <cellStyle name="40% - Accent2 3 3 5 2" xfId="7896"/>
    <cellStyle name="40% - Accent2 3 3 5 2 2" xfId="7897"/>
    <cellStyle name="40% - Accent2 3 3 5 2 3" xfId="22703"/>
    <cellStyle name="40% - Accent2 3 3 5 3" xfId="7898"/>
    <cellStyle name="40% - Accent2 3 3 5 4" xfId="20120"/>
    <cellStyle name="40% - Accent2 3 3 6" xfId="7899"/>
    <cellStyle name="40% - Accent2 3 3 6 2" xfId="7900"/>
    <cellStyle name="40% - Accent2 3 3 6 3" xfId="21413"/>
    <cellStyle name="40% - Accent2 3 3 7" xfId="7901"/>
    <cellStyle name="40% - Accent2 3 3 8" xfId="18813"/>
    <cellStyle name="40% - Accent2 3 4" xfId="7902"/>
    <cellStyle name="40% - Accent2 3 4 2" xfId="7903"/>
    <cellStyle name="40% - Accent2 3 4 2 2" xfId="7904"/>
    <cellStyle name="40% - Accent2 3 4 2 2 2" xfId="7905"/>
    <cellStyle name="40% - Accent2 3 4 2 2 2 2" xfId="7906"/>
    <cellStyle name="40% - Accent2 3 4 2 2 2 2 2" xfId="7907"/>
    <cellStyle name="40% - Accent2 3 4 2 2 2 2 3" xfId="23751"/>
    <cellStyle name="40% - Accent2 3 4 2 2 2 3" xfId="7908"/>
    <cellStyle name="40% - Accent2 3 4 2 2 2 4" xfId="21168"/>
    <cellStyle name="40% - Accent2 3 4 2 2 3" xfId="7909"/>
    <cellStyle name="40% - Accent2 3 4 2 2 3 2" xfId="7910"/>
    <cellStyle name="40% - Accent2 3 4 2 2 3 3" xfId="22461"/>
    <cellStyle name="40% - Accent2 3 4 2 2 4" xfId="7911"/>
    <cellStyle name="40% - Accent2 3 4 2 2 5" xfId="19874"/>
    <cellStyle name="40% - Accent2 3 4 2 3" xfId="7912"/>
    <cellStyle name="40% - Accent2 3 4 2 3 2" xfId="7913"/>
    <cellStyle name="40% - Accent2 3 4 2 3 2 2" xfId="7914"/>
    <cellStyle name="40% - Accent2 3 4 2 3 2 3" xfId="23106"/>
    <cellStyle name="40% - Accent2 3 4 2 3 3" xfId="7915"/>
    <cellStyle name="40% - Accent2 3 4 2 3 4" xfId="20523"/>
    <cellStyle name="40% - Accent2 3 4 2 4" xfId="7916"/>
    <cellStyle name="40% - Accent2 3 4 2 4 2" xfId="7917"/>
    <cellStyle name="40% - Accent2 3 4 2 4 3" xfId="21816"/>
    <cellStyle name="40% - Accent2 3 4 2 5" xfId="7918"/>
    <cellStyle name="40% - Accent2 3 4 2 6" xfId="19226"/>
    <cellStyle name="40% - Accent2 3 4 3" xfId="7919"/>
    <cellStyle name="40% - Accent2 3 4 3 2" xfId="7920"/>
    <cellStyle name="40% - Accent2 3 4 3 2 2" xfId="7921"/>
    <cellStyle name="40% - Accent2 3 4 3 2 2 2" xfId="7922"/>
    <cellStyle name="40% - Accent2 3 4 3 2 2 3" xfId="23429"/>
    <cellStyle name="40% - Accent2 3 4 3 2 3" xfId="7923"/>
    <cellStyle name="40% - Accent2 3 4 3 2 4" xfId="20846"/>
    <cellStyle name="40% - Accent2 3 4 3 3" xfId="7924"/>
    <cellStyle name="40% - Accent2 3 4 3 3 2" xfId="7925"/>
    <cellStyle name="40% - Accent2 3 4 3 3 3" xfId="22139"/>
    <cellStyle name="40% - Accent2 3 4 3 4" xfId="7926"/>
    <cellStyle name="40% - Accent2 3 4 3 5" xfId="19552"/>
    <cellStyle name="40% - Accent2 3 4 4" xfId="7927"/>
    <cellStyle name="40% - Accent2 3 4 4 2" xfId="7928"/>
    <cellStyle name="40% - Accent2 3 4 4 2 2" xfId="7929"/>
    <cellStyle name="40% - Accent2 3 4 4 2 3" xfId="22784"/>
    <cellStyle name="40% - Accent2 3 4 4 3" xfId="7930"/>
    <cellStyle name="40% - Accent2 3 4 4 4" xfId="20201"/>
    <cellStyle name="40% - Accent2 3 4 5" xfId="7931"/>
    <cellStyle name="40% - Accent2 3 4 5 2" xfId="7932"/>
    <cellStyle name="40% - Accent2 3 4 5 3" xfId="21494"/>
    <cellStyle name="40% - Accent2 3 4 6" xfId="7933"/>
    <cellStyle name="40% - Accent2 3 4 7" xfId="18900"/>
    <cellStyle name="40% - Accent2 3 5" xfId="7934"/>
    <cellStyle name="40% - Accent2 3 5 2" xfId="7935"/>
    <cellStyle name="40% - Accent2 3 5 2 2" xfId="7936"/>
    <cellStyle name="40% - Accent2 3 5 2 2 2" xfId="7937"/>
    <cellStyle name="40% - Accent2 3 5 2 2 2 2" xfId="7938"/>
    <cellStyle name="40% - Accent2 3 5 2 2 2 3" xfId="23590"/>
    <cellStyle name="40% - Accent2 3 5 2 2 3" xfId="7939"/>
    <cellStyle name="40% - Accent2 3 5 2 2 4" xfId="21007"/>
    <cellStyle name="40% - Accent2 3 5 2 3" xfId="7940"/>
    <cellStyle name="40% - Accent2 3 5 2 3 2" xfId="7941"/>
    <cellStyle name="40% - Accent2 3 5 2 3 3" xfId="22300"/>
    <cellStyle name="40% - Accent2 3 5 2 4" xfId="7942"/>
    <cellStyle name="40% - Accent2 3 5 2 5" xfId="19713"/>
    <cellStyle name="40% - Accent2 3 5 3" xfId="7943"/>
    <cellStyle name="40% - Accent2 3 5 3 2" xfId="7944"/>
    <cellStyle name="40% - Accent2 3 5 3 2 2" xfId="7945"/>
    <cellStyle name="40% - Accent2 3 5 3 2 3" xfId="22945"/>
    <cellStyle name="40% - Accent2 3 5 3 3" xfId="7946"/>
    <cellStyle name="40% - Accent2 3 5 3 4" xfId="20362"/>
    <cellStyle name="40% - Accent2 3 5 4" xfId="7947"/>
    <cellStyle name="40% - Accent2 3 5 4 2" xfId="7948"/>
    <cellStyle name="40% - Accent2 3 5 4 3" xfId="21655"/>
    <cellStyle name="40% - Accent2 3 5 5" xfId="7949"/>
    <cellStyle name="40% - Accent2 3 5 6" xfId="19065"/>
    <cellStyle name="40% - Accent2 3 6" xfId="7950"/>
    <cellStyle name="40% - Accent2 3 6 2" xfId="7951"/>
    <cellStyle name="40% - Accent2 3 6 2 2" xfId="7952"/>
    <cellStyle name="40% - Accent2 3 6 2 2 2" xfId="7953"/>
    <cellStyle name="40% - Accent2 3 6 2 2 3" xfId="23267"/>
    <cellStyle name="40% - Accent2 3 6 2 3" xfId="7954"/>
    <cellStyle name="40% - Accent2 3 6 2 4" xfId="20684"/>
    <cellStyle name="40% - Accent2 3 6 3" xfId="7955"/>
    <cellStyle name="40% - Accent2 3 6 3 2" xfId="7956"/>
    <cellStyle name="40% - Accent2 3 6 3 3" xfId="21977"/>
    <cellStyle name="40% - Accent2 3 6 4" xfId="7957"/>
    <cellStyle name="40% - Accent2 3 6 5" xfId="19391"/>
    <cellStyle name="40% - Accent2 3 7" xfId="7958"/>
    <cellStyle name="40% - Accent2 3 7 2" xfId="7959"/>
    <cellStyle name="40% - Accent2 3 7 2 2" xfId="7960"/>
    <cellStyle name="40% - Accent2 3 7 2 3" xfId="22622"/>
    <cellStyle name="40% - Accent2 3 7 3" xfId="7961"/>
    <cellStyle name="40% - Accent2 3 7 4" xfId="20039"/>
    <cellStyle name="40% - Accent2 3 8" xfId="7962"/>
    <cellStyle name="40% - Accent2 3 8 2" xfId="7963"/>
    <cellStyle name="40% - Accent2 3 8 3" xfId="21332"/>
    <cellStyle name="40% - Accent2 3 9" xfId="7964"/>
    <cellStyle name="40% - Accent2 4" xfId="7965"/>
    <cellStyle name="40% - Accent2 4 2" xfId="7966"/>
    <cellStyle name="40% - Accent2 4 2 2" xfId="7967"/>
    <cellStyle name="40% - Accent2 4 2 2 2" xfId="7968"/>
    <cellStyle name="40% - Accent2 4 2 2 2 2" xfId="7969"/>
    <cellStyle name="40% - Accent2 4 2 2 2 2 2" xfId="7970"/>
    <cellStyle name="40% - Accent2 4 2 2 2 2 2 2" xfId="7971"/>
    <cellStyle name="40% - Accent2 4 2 2 2 2 2 2 2" xfId="7972"/>
    <cellStyle name="40% - Accent2 4 2 2 2 2 2 2 3" xfId="23851"/>
    <cellStyle name="40% - Accent2 4 2 2 2 2 2 3" xfId="7973"/>
    <cellStyle name="40% - Accent2 4 2 2 2 2 2 4" xfId="21268"/>
    <cellStyle name="40% - Accent2 4 2 2 2 2 3" xfId="7974"/>
    <cellStyle name="40% - Accent2 4 2 2 2 2 3 2" xfId="7975"/>
    <cellStyle name="40% - Accent2 4 2 2 2 2 3 3" xfId="22561"/>
    <cellStyle name="40% - Accent2 4 2 2 2 2 4" xfId="7976"/>
    <cellStyle name="40% - Accent2 4 2 2 2 2 5" xfId="19974"/>
    <cellStyle name="40% - Accent2 4 2 2 2 3" xfId="7977"/>
    <cellStyle name="40% - Accent2 4 2 2 2 3 2" xfId="7978"/>
    <cellStyle name="40% - Accent2 4 2 2 2 3 2 2" xfId="7979"/>
    <cellStyle name="40% - Accent2 4 2 2 2 3 2 3" xfId="23206"/>
    <cellStyle name="40% - Accent2 4 2 2 2 3 3" xfId="7980"/>
    <cellStyle name="40% - Accent2 4 2 2 2 3 4" xfId="20623"/>
    <cellStyle name="40% - Accent2 4 2 2 2 4" xfId="7981"/>
    <cellStyle name="40% - Accent2 4 2 2 2 4 2" xfId="7982"/>
    <cellStyle name="40% - Accent2 4 2 2 2 4 3" xfId="21916"/>
    <cellStyle name="40% - Accent2 4 2 2 2 5" xfId="7983"/>
    <cellStyle name="40% - Accent2 4 2 2 2 6" xfId="19326"/>
    <cellStyle name="40% - Accent2 4 2 2 3" xfId="7984"/>
    <cellStyle name="40% - Accent2 4 2 2 3 2" xfId="7985"/>
    <cellStyle name="40% - Accent2 4 2 2 3 2 2" xfId="7986"/>
    <cellStyle name="40% - Accent2 4 2 2 3 2 2 2" xfId="7987"/>
    <cellStyle name="40% - Accent2 4 2 2 3 2 2 3" xfId="23529"/>
    <cellStyle name="40% - Accent2 4 2 2 3 2 3" xfId="7988"/>
    <cellStyle name="40% - Accent2 4 2 2 3 2 4" xfId="20946"/>
    <cellStyle name="40% - Accent2 4 2 2 3 3" xfId="7989"/>
    <cellStyle name="40% - Accent2 4 2 2 3 3 2" xfId="7990"/>
    <cellStyle name="40% - Accent2 4 2 2 3 3 3" xfId="22239"/>
    <cellStyle name="40% - Accent2 4 2 2 3 4" xfId="7991"/>
    <cellStyle name="40% - Accent2 4 2 2 3 5" xfId="19652"/>
    <cellStyle name="40% - Accent2 4 2 2 4" xfId="7992"/>
    <cellStyle name="40% - Accent2 4 2 2 4 2" xfId="7993"/>
    <cellStyle name="40% - Accent2 4 2 2 4 2 2" xfId="7994"/>
    <cellStyle name="40% - Accent2 4 2 2 4 2 3" xfId="22884"/>
    <cellStyle name="40% - Accent2 4 2 2 4 3" xfId="7995"/>
    <cellStyle name="40% - Accent2 4 2 2 4 4" xfId="20301"/>
    <cellStyle name="40% - Accent2 4 2 2 5" xfId="7996"/>
    <cellStyle name="40% - Accent2 4 2 2 5 2" xfId="7997"/>
    <cellStyle name="40% - Accent2 4 2 2 5 3" xfId="21594"/>
    <cellStyle name="40% - Accent2 4 2 2 6" xfId="7998"/>
    <cellStyle name="40% - Accent2 4 2 2 7" xfId="19000"/>
    <cellStyle name="40% - Accent2 4 2 3" xfId="7999"/>
    <cellStyle name="40% - Accent2 4 2 3 2" xfId="8000"/>
    <cellStyle name="40% - Accent2 4 2 3 2 2" xfId="8001"/>
    <cellStyle name="40% - Accent2 4 2 3 2 2 2" xfId="8002"/>
    <cellStyle name="40% - Accent2 4 2 3 2 2 2 2" xfId="8003"/>
    <cellStyle name="40% - Accent2 4 2 3 2 2 2 3" xfId="23690"/>
    <cellStyle name="40% - Accent2 4 2 3 2 2 3" xfId="8004"/>
    <cellStyle name="40% - Accent2 4 2 3 2 2 4" xfId="21107"/>
    <cellStyle name="40% - Accent2 4 2 3 2 3" xfId="8005"/>
    <cellStyle name="40% - Accent2 4 2 3 2 3 2" xfId="8006"/>
    <cellStyle name="40% - Accent2 4 2 3 2 3 3" xfId="22400"/>
    <cellStyle name="40% - Accent2 4 2 3 2 4" xfId="8007"/>
    <cellStyle name="40% - Accent2 4 2 3 2 5" xfId="19813"/>
    <cellStyle name="40% - Accent2 4 2 3 3" xfId="8008"/>
    <cellStyle name="40% - Accent2 4 2 3 3 2" xfId="8009"/>
    <cellStyle name="40% - Accent2 4 2 3 3 2 2" xfId="8010"/>
    <cellStyle name="40% - Accent2 4 2 3 3 2 3" xfId="23045"/>
    <cellStyle name="40% - Accent2 4 2 3 3 3" xfId="8011"/>
    <cellStyle name="40% - Accent2 4 2 3 3 4" xfId="20462"/>
    <cellStyle name="40% - Accent2 4 2 3 4" xfId="8012"/>
    <cellStyle name="40% - Accent2 4 2 3 4 2" xfId="8013"/>
    <cellStyle name="40% - Accent2 4 2 3 4 3" xfId="21755"/>
    <cellStyle name="40% - Accent2 4 2 3 5" xfId="8014"/>
    <cellStyle name="40% - Accent2 4 2 3 6" xfId="19165"/>
    <cellStyle name="40% - Accent2 4 2 4" xfId="8015"/>
    <cellStyle name="40% - Accent2 4 2 4 2" xfId="8016"/>
    <cellStyle name="40% - Accent2 4 2 4 2 2" xfId="8017"/>
    <cellStyle name="40% - Accent2 4 2 4 2 2 2" xfId="8018"/>
    <cellStyle name="40% - Accent2 4 2 4 2 2 3" xfId="23368"/>
    <cellStyle name="40% - Accent2 4 2 4 2 3" xfId="8019"/>
    <cellStyle name="40% - Accent2 4 2 4 2 4" xfId="20785"/>
    <cellStyle name="40% - Accent2 4 2 4 3" xfId="8020"/>
    <cellStyle name="40% - Accent2 4 2 4 3 2" xfId="8021"/>
    <cellStyle name="40% - Accent2 4 2 4 3 3" xfId="22078"/>
    <cellStyle name="40% - Accent2 4 2 4 4" xfId="8022"/>
    <cellStyle name="40% - Accent2 4 2 4 5" xfId="19491"/>
    <cellStyle name="40% - Accent2 4 2 5" xfId="8023"/>
    <cellStyle name="40% - Accent2 4 2 5 2" xfId="8024"/>
    <cellStyle name="40% - Accent2 4 2 5 2 2" xfId="8025"/>
    <cellStyle name="40% - Accent2 4 2 5 2 3" xfId="22723"/>
    <cellStyle name="40% - Accent2 4 2 5 3" xfId="8026"/>
    <cellStyle name="40% - Accent2 4 2 5 4" xfId="20140"/>
    <cellStyle name="40% - Accent2 4 2 6" xfId="8027"/>
    <cellStyle name="40% - Accent2 4 2 6 2" xfId="8028"/>
    <cellStyle name="40% - Accent2 4 2 6 3" xfId="21433"/>
    <cellStyle name="40% - Accent2 4 2 7" xfId="8029"/>
    <cellStyle name="40% - Accent2 4 2 8" xfId="18834"/>
    <cellStyle name="40% - Accent2 4 3" xfId="8030"/>
    <cellStyle name="40% - Accent2 4 3 2" xfId="8031"/>
    <cellStyle name="40% - Accent2 4 3 2 2" xfId="8032"/>
    <cellStyle name="40% - Accent2 4 3 2 2 2" xfId="8033"/>
    <cellStyle name="40% - Accent2 4 3 2 2 2 2" xfId="8034"/>
    <cellStyle name="40% - Accent2 4 3 2 2 2 2 2" xfId="8035"/>
    <cellStyle name="40% - Accent2 4 3 2 2 2 2 3" xfId="23771"/>
    <cellStyle name="40% - Accent2 4 3 2 2 2 3" xfId="8036"/>
    <cellStyle name="40% - Accent2 4 3 2 2 2 4" xfId="21188"/>
    <cellStyle name="40% - Accent2 4 3 2 2 3" xfId="8037"/>
    <cellStyle name="40% - Accent2 4 3 2 2 3 2" xfId="8038"/>
    <cellStyle name="40% - Accent2 4 3 2 2 3 3" xfId="22481"/>
    <cellStyle name="40% - Accent2 4 3 2 2 4" xfId="8039"/>
    <cellStyle name="40% - Accent2 4 3 2 2 5" xfId="19894"/>
    <cellStyle name="40% - Accent2 4 3 2 3" xfId="8040"/>
    <cellStyle name="40% - Accent2 4 3 2 3 2" xfId="8041"/>
    <cellStyle name="40% - Accent2 4 3 2 3 2 2" xfId="8042"/>
    <cellStyle name="40% - Accent2 4 3 2 3 2 3" xfId="23126"/>
    <cellStyle name="40% - Accent2 4 3 2 3 3" xfId="8043"/>
    <cellStyle name="40% - Accent2 4 3 2 3 4" xfId="20543"/>
    <cellStyle name="40% - Accent2 4 3 2 4" xfId="8044"/>
    <cellStyle name="40% - Accent2 4 3 2 4 2" xfId="8045"/>
    <cellStyle name="40% - Accent2 4 3 2 4 3" xfId="21836"/>
    <cellStyle name="40% - Accent2 4 3 2 5" xfId="8046"/>
    <cellStyle name="40% - Accent2 4 3 2 6" xfId="19246"/>
    <cellStyle name="40% - Accent2 4 3 3" xfId="8047"/>
    <cellStyle name="40% - Accent2 4 3 3 2" xfId="8048"/>
    <cellStyle name="40% - Accent2 4 3 3 2 2" xfId="8049"/>
    <cellStyle name="40% - Accent2 4 3 3 2 2 2" xfId="8050"/>
    <cellStyle name="40% - Accent2 4 3 3 2 2 3" xfId="23449"/>
    <cellStyle name="40% - Accent2 4 3 3 2 3" xfId="8051"/>
    <cellStyle name="40% - Accent2 4 3 3 2 4" xfId="20866"/>
    <cellStyle name="40% - Accent2 4 3 3 3" xfId="8052"/>
    <cellStyle name="40% - Accent2 4 3 3 3 2" xfId="8053"/>
    <cellStyle name="40% - Accent2 4 3 3 3 3" xfId="22159"/>
    <cellStyle name="40% - Accent2 4 3 3 4" xfId="8054"/>
    <cellStyle name="40% - Accent2 4 3 3 5" xfId="19572"/>
    <cellStyle name="40% - Accent2 4 3 4" xfId="8055"/>
    <cellStyle name="40% - Accent2 4 3 4 2" xfId="8056"/>
    <cellStyle name="40% - Accent2 4 3 4 2 2" xfId="8057"/>
    <cellStyle name="40% - Accent2 4 3 4 2 3" xfId="22804"/>
    <cellStyle name="40% - Accent2 4 3 4 3" xfId="8058"/>
    <cellStyle name="40% - Accent2 4 3 4 4" xfId="20221"/>
    <cellStyle name="40% - Accent2 4 3 5" xfId="8059"/>
    <cellStyle name="40% - Accent2 4 3 5 2" xfId="8060"/>
    <cellStyle name="40% - Accent2 4 3 5 3" xfId="21514"/>
    <cellStyle name="40% - Accent2 4 3 6" xfId="8061"/>
    <cellStyle name="40% - Accent2 4 3 7" xfId="18920"/>
    <cellStyle name="40% - Accent2 4 4" xfId="8062"/>
    <cellStyle name="40% - Accent2 4 4 2" xfId="8063"/>
    <cellStyle name="40% - Accent2 4 4 2 2" xfId="8064"/>
    <cellStyle name="40% - Accent2 4 4 2 2 2" xfId="8065"/>
    <cellStyle name="40% - Accent2 4 4 2 2 2 2" xfId="8066"/>
    <cellStyle name="40% - Accent2 4 4 2 2 2 3" xfId="23610"/>
    <cellStyle name="40% - Accent2 4 4 2 2 3" xfId="8067"/>
    <cellStyle name="40% - Accent2 4 4 2 2 4" xfId="21027"/>
    <cellStyle name="40% - Accent2 4 4 2 3" xfId="8068"/>
    <cellStyle name="40% - Accent2 4 4 2 3 2" xfId="8069"/>
    <cellStyle name="40% - Accent2 4 4 2 3 3" xfId="22320"/>
    <cellStyle name="40% - Accent2 4 4 2 4" xfId="8070"/>
    <cellStyle name="40% - Accent2 4 4 2 5" xfId="19733"/>
    <cellStyle name="40% - Accent2 4 4 3" xfId="8071"/>
    <cellStyle name="40% - Accent2 4 4 3 2" xfId="8072"/>
    <cellStyle name="40% - Accent2 4 4 3 2 2" xfId="8073"/>
    <cellStyle name="40% - Accent2 4 4 3 2 3" xfId="22965"/>
    <cellStyle name="40% - Accent2 4 4 3 3" xfId="8074"/>
    <cellStyle name="40% - Accent2 4 4 3 4" xfId="20382"/>
    <cellStyle name="40% - Accent2 4 4 4" xfId="8075"/>
    <cellStyle name="40% - Accent2 4 4 4 2" xfId="8076"/>
    <cellStyle name="40% - Accent2 4 4 4 3" xfId="21675"/>
    <cellStyle name="40% - Accent2 4 4 5" xfId="8077"/>
    <cellStyle name="40% - Accent2 4 4 6" xfId="19085"/>
    <cellStyle name="40% - Accent2 4 5" xfId="8078"/>
    <cellStyle name="40% - Accent2 4 5 2" xfId="8079"/>
    <cellStyle name="40% - Accent2 4 5 2 2" xfId="8080"/>
    <cellStyle name="40% - Accent2 4 5 2 2 2" xfId="8081"/>
    <cellStyle name="40% - Accent2 4 5 2 2 3" xfId="23287"/>
    <cellStyle name="40% - Accent2 4 5 2 3" xfId="8082"/>
    <cellStyle name="40% - Accent2 4 5 2 4" xfId="20704"/>
    <cellStyle name="40% - Accent2 4 5 3" xfId="8083"/>
    <cellStyle name="40% - Accent2 4 5 3 2" xfId="8084"/>
    <cellStyle name="40% - Accent2 4 5 3 3" xfId="21997"/>
    <cellStyle name="40% - Accent2 4 5 4" xfId="8085"/>
    <cellStyle name="40% - Accent2 4 5 5" xfId="19411"/>
    <cellStyle name="40% - Accent2 4 6" xfId="8086"/>
    <cellStyle name="40% - Accent2 4 6 2" xfId="8087"/>
    <cellStyle name="40% - Accent2 4 6 2 2" xfId="8088"/>
    <cellStyle name="40% - Accent2 4 6 2 3" xfId="22642"/>
    <cellStyle name="40% - Accent2 4 6 3" xfId="8089"/>
    <cellStyle name="40% - Accent2 4 6 4" xfId="20059"/>
    <cellStyle name="40% - Accent2 4 7" xfId="8090"/>
    <cellStyle name="40% - Accent2 4 7 2" xfId="8091"/>
    <cellStyle name="40% - Accent2 4 7 3" xfId="21352"/>
    <cellStyle name="40% - Accent2 4 8" xfId="8092"/>
    <cellStyle name="40% - Accent2 4 9" xfId="18734"/>
    <cellStyle name="40% - Accent2 5" xfId="8093"/>
    <cellStyle name="40% - Accent2 5 2" xfId="8094"/>
    <cellStyle name="40% - Accent2 5 2 2" xfId="8095"/>
    <cellStyle name="40% - Accent2 5 2 2 2" xfId="8096"/>
    <cellStyle name="40% - Accent2 5 2 2 2 2" xfId="8097"/>
    <cellStyle name="40% - Accent2 5 2 2 2 2 2" xfId="8098"/>
    <cellStyle name="40% - Accent2 5 2 2 2 2 2 2" xfId="8099"/>
    <cellStyle name="40% - Accent2 5 2 2 2 2 2 3" xfId="23811"/>
    <cellStyle name="40% - Accent2 5 2 2 2 2 3" xfId="8100"/>
    <cellStyle name="40% - Accent2 5 2 2 2 2 4" xfId="21228"/>
    <cellStyle name="40% - Accent2 5 2 2 2 3" xfId="8101"/>
    <cellStyle name="40% - Accent2 5 2 2 2 3 2" xfId="8102"/>
    <cellStyle name="40% - Accent2 5 2 2 2 3 3" xfId="22521"/>
    <cellStyle name="40% - Accent2 5 2 2 2 4" xfId="8103"/>
    <cellStyle name="40% - Accent2 5 2 2 2 5" xfId="19934"/>
    <cellStyle name="40% - Accent2 5 2 2 3" xfId="8104"/>
    <cellStyle name="40% - Accent2 5 2 2 3 2" xfId="8105"/>
    <cellStyle name="40% - Accent2 5 2 2 3 2 2" xfId="8106"/>
    <cellStyle name="40% - Accent2 5 2 2 3 2 3" xfId="23166"/>
    <cellStyle name="40% - Accent2 5 2 2 3 3" xfId="8107"/>
    <cellStyle name="40% - Accent2 5 2 2 3 4" xfId="20583"/>
    <cellStyle name="40% - Accent2 5 2 2 4" xfId="8108"/>
    <cellStyle name="40% - Accent2 5 2 2 4 2" xfId="8109"/>
    <cellStyle name="40% - Accent2 5 2 2 4 3" xfId="21876"/>
    <cellStyle name="40% - Accent2 5 2 2 5" xfId="8110"/>
    <cellStyle name="40% - Accent2 5 2 2 6" xfId="19286"/>
    <cellStyle name="40% - Accent2 5 2 3" xfId="8111"/>
    <cellStyle name="40% - Accent2 5 2 3 2" xfId="8112"/>
    <cellStyle name="40% - Accent2 5 2 3 2 2" xfId="8113"/>
    <cellStyle name="40% - Accent2 5 2 3 2 2 2" xfId="8114"/>
    <cellStyle name="40% - Accent2 5 2 3 2 2 3" xfId="23489"/>
    <cellStyle name="40% - Accent2 5 2 3 2 3" xfId="8115"/>
    <cellStyle name="40% - Accent2 5 2 3 2 4" xfId="20906"/>
    <cellStyle name="40% - Accent2 5 2 3 3" xfId="8116"/>
    <cellStyle name="40% - Accent2 5 2 3 3 2" xfId="8117"/>
    <cellStyle name="40% - Accent2 5 2 3 3 3" xfId="22199"/>
    <cellStyle name="40% - Accent2 5 2 3 4" xfId="8118"/>
    <cellStyle name="40% - Accent2 5 2 3 5" xfId="19612"/>
    <cellStyle name="40% - Accent2 5 2 4" xfId="8119"/>
    <cellStyle name="40% - Accent2 5 2 4 2" xfId="8120"/>
    <cellStyle name="40% - Accent2 5 2 4 2 2" xfId="8121"/>
    <cellStyle name="40% - Accent2 5 2 4 2 3" xfId="22844"/>
    <cellStyle name="40% - Accent2 5 2 4 3" xfId="8122"/>
    <cellStyle name="40% - Accent2 5 2 4 4" xfId="20261"/>
    <cellStyle name="40% - Accent2 5 2 5" xfId="8123"/>
    <cellStyle name="40% - Accent2 5 2 5 2" xfId="8124"/>
    <cellStyle name="40% - Accent2 5 2 5 3" xfId="21554"/>
    <cellStyle name="40% - Accent2 5 2 6" xfId="8125"/>
    <cellStyle name="40% - Accent2 5 2 7" xfId="18960"/>
    <cellStyle name="40% - Accent2 5 3" xfId="8126"/>
    <cellStyle name="40% - Accent2 5 3 2" xfId="8127"/>
    <cellStyle name="40% - Accent2 5 3 2 2" xfId="8128"/>
    <cellStyle name="40% - Accent2 5 3 2 2 2" xfId="8129"/>
    <cellStyle name="40% - Accent2 5 3 2 2 2 2" xfId="8130"/>
    <cellStyle name="40% - Accent2 5 3 2 2 2 3" xfId="23650"/>
    <cellStyle name="40% - Accent2 5 3 2 2 3" xfId="8131"/>
    <cellStyle name="40% - Accent2 5 3 2 2 4" xfId="21067"/>
    <cellStyle name="40% - Accent2 5 3 2 3" xfId="8132"/>
    <cellStyle name="40% - Accent2 5 3 2 3 2" xfId="8133"/>
    <cellStyle name="40% - Accent2 5 3 2 3 3" xfId="22360"/>
    <cellStyle name="40% - Accent2 5 3 2 4" xfId="8134"/>
    <cellStyle name="40% - Accent2 5 3 2 5" xfId="19773"/>
    <cellStyle name="40% - Accent2 5 3 3" xfId="8135"/>
    <cellStyle name="40% - Accent2 5 3 3 2" xfId="8136"/>
    <cellStyle name="40% - Accent2 5 3 3 2 2" xfId="8137"/>
    <cellStyle name="40% - Accent2 5 3 3 2 3" xfId="23005"/>
    <cellStyle name="40% - Accent2 5 3 3 3" xfId="8138"/>
    <cellStyle name="40% - Accent2 5 3 3 4" xfId="20422"/>
    <cellStyle name="40% - Accent2 5 3 4" xfId="8139"/>
    <cellStyle name="40% - Accent2 5 3 4 2" xfId="8140"/>
    <cellStyle name="40% - Accent2 5 3 4 3" xfId="21715"/>
    <cellStyle name="40% - Accent2 5 3 5" xfId="8141"/>
    <cellStyle name="40% - Accent2 5 3 6" xfId="19125"/>
    <cellStyle name="40% - Accent2 5 4" xfId="8142"/>
    <cellStyle name="40% - Accent2 5 4 2" xfId="8143"/>
    <cellStyle name="40% - Accent2 5 4 2 2" xfId="8144"/>
    <cellStyle name="40% - Accent2 5 4 2 2 2" xfId="8145"/>
    <cellStyle name="40% - Accent2 5 4 2 2 3" xfId="23327"/>
    <cellStyle name="40% - Accent2 5 4 2 3" xfId="8146"/>
    <cellStyle name="40% - Accent2 5 4 2 4" xfId="20744"/>
    <cellStyle name="40% - Accent2 5 4 3" xfId="8147"/>
    <cellStyle name="40% - Accent2 5 4 3 2" xfId="8148"/>
    <cellStyle name="40% - Accent2 5 4 3 3" xfId="22037"/>
    <cellStyle name="40% - Accent2 5 4 4" xfId="8149"/>
    <cellStyle name="40% - Accent2 5 4 5" xfId="19451"/>
    <cellStyle name="40% - Accent2 5 5" xfId="8150"/>
    <cellStyle name="40% - Accent2 5 5 2" xfId="8151"/>
    <cellStyle name="40% - Accent2 5 5 2 2" xfId="8152"/>
    <cellStyle name="40% - Accent2 5 5 2 3" xfId="22682"/>
    <cellStyle name="40% - Accent2 5 5 3" xfId="8153"/>
    <cellStyle name="40% - Accent2 5 5 4" xfId="20099"/>
    <cellStyle name="40% - Accent2 5 6" xfId="8154"/>
    <cellStyle name="40% - Accent2 5 6 2" xfId="8155"/>
    <cellStyle name="40% - Accent2 5 6 3" xfId="21392"/>
    <cellStyle name="40% - Accent2 5 7" xfId="8156"/>
    <cellStyle name="40% - Accent2 5 8" xfId="18787"/>
    <cellStyle name="40% - Accent2 6" xfId="8157"/>
    <cellStyle name="40% - Accent2 6 2" xfId="8158"/>
    <cellStyle name="40% - Accent2 6 2 2" xfId="8159"/>
    <cellStyle name="40% - Accent2 6 2 2 2" xfId="8160"/>
    <cellStyle name="40% - Accent2 6 2 2 2 2" xfId="8161"/>
    <cellStyle name="40% - Accent2 6 2 2 2 2 2" xfId="8162"/>
    <cellStyle name="40% - Accent2 6 2 2 2 2 3" xfId="23730"/>
    <cellStyle name="40% - Accent2 6 2 2 2 3" xfId="8163"/>
    <cellStyle name="40% - Accent2 6 2 2 2 4" xfId="21147"/>
    <cellStyle name="40% - Accent2 6 2 2 3" xfId="8164"/>
    <cellStyle name="40% - Accent2 6 2 2 3 2" xfId="8165"/>
    <cellStyle name="40% - Accent2 6 2 2 3 3" xfId="22440"/>
    <cellStyle name="40% - Accent2 6 2 2 4" xfId="8166"/>
    <cellStyle name="40% - Accent2 6 2 2 5" xfId="19853"/>
    <cellStyle name="40% - Accent2 6 2 3" xfId="8167"/>
    <cellStyle name="40% - Accent2 6 2 3 2" xfId="8168"/>
    <cellStyle name="40% - Accent2 6 2 3 2 2" xfId="8169"/>
    <cellStyle name="40% - Accent2 6 2 3 2 3" xfId="23085"/>
    <cellStyle name="40% - Accent2 6 2 3 3" xfId="8170"/>
    <cellStyle name="40% - Accent2 6 2 3 4" xfId="20502"/>
    <cellStyle name="40% - Accent2 6 2 4" xfId="8171"/>
    <cellStyle name="40% - Accent2 6 2 4 2" xfId="8172"/>
    <cellStyle name="40% - Accent2 6 2 4 3" xfId="21795"/>
    <cellStyle name="40% - Accent2 6 2 5" xfId="8173"/>
    <cellStyle name="40% - Accent2 6 2 6" xfId="19205"/>
    <cellStyle name="40% - Accent2 6 3" xfId="8174"/>
    <cellStyle name="40% - Accent2 6 3 2" xfId="8175"/>
    <cellStyle name="40% - Accent2 6 3 2 2" xfId="8176"/>
    <cellStyle name="40% - Accent2 6 3 2 2 2" xfId="8177"/>
    <cellStyle name="40% - Accent2 6 3 2 2 3" xfId="23408"/>
    <cellStyle name="40% - Accent2 6 3 2 3" xfId="8178"/>
    <cellStyle name="40% - Accent2 6 3 2 4" xfId="20825"/>
    <cellStyle name="40% - Accent2 6 3 3" xfId="8179"/>
    <cellStyle name="40% - Accent2 6 3 3 2" xfId="8180"/>
    <cellStyle name="40% - Accent2 6 3 3 3" xfId="22118"/>
    <cellStyle name="40% - Accent2 6 3 4" xfId="8181"/>
    <cellStyle name="40% - Accent2 6 3 5" xfId="19531"/>
    <cellStyle name="40% - Accent2 6 4" xfId="8182"/>
    <cellStyle name="40% - Accent2 6 4 2" xfId="8183"/>
    <cellStyle name="40% - Accent2 6 4 2 2" xfId="8184"/>
    <cellStyle name="40% - Accent2 6 4 2 3" xfId="22763"/>
    <cellStyle name="40% - Accent2 6 4 3" xfId="8185"/>
    <cellStyle name="40% - Accent2 6 4 4" xfId="20180"/>
    <cellStyle name="40% - Accent2 6 5" xfId="8186"/>
    <cellStyle name="40% - Accent2 6 5 2" xfId="8187"/>
    <cellStyle name="40% - Accent2 6 5 3" xfId="21473"/>
    <cellStyle name="40% - Accent2 6 6" xfId="8188"/>
    <cellStyle name="40% - Accent2 6 7" xfId="18875"/>
    <cellStyle name="40% - Accent2 7" xfId="8189"/>
    <cellStyle name="40% - Accent2 7 2" xfId="8190"/>
    <cellStyle name="40% - Accent2 7 2 2" xfId="8191"/>
    <cellStyle name="40% - Accent2 7 2 2 2" xfId="8192"/>
    <cellStyle name="40% - Accent2 7 2 2 2 2" xfId="8193"/>
    <cellStyle name="40% - Accent2 7 2 2 2 3" xfId="23569"/>
    <cellStyle name="40% - Accent2 7 2 2 3" xfId="8194"/>
    <cellStyle name="40% - Accent2 7 2 2 4" xfId="20986"/>
    <cellStyle name="40% - Accent2 7 2 3" xfId="8195"/>
    <cellStyle name="40% - Accent2 7 2 3 2" xfId="8196"/>
    <cellStyle name="40% - Accent2 7 2 3 3" xfId="22279"/>
    <cellStyle name="40% - Accent2 7 2 4" xfId="8197"/>
    <cellStyle name="40% - Accent2 7 2 5" xfId="19692"/>
    <cellStyle name="40% - Accent2 7 3" xfId="8198"/>
    <cellStyle name="40% - Accent2 7 3 2" xfId="8199"/>
    <cellStyle name="40% - Accent2 7 3 2 2" xfId="8200"/>
    <cellStyle name="40% - Accent2 7 3 2 3" xfId="22924"/>
    <cellStyle name="40% - Accent2 7 3 3" xfId="8201"/>
    <cellStyle name="40% - Accent2 7 3 4" xfId="20341"/>
    <cellStyle name="40% - Accent2 7 4" xfId="8202"/>
    <cellStyle name="40% - Accent2 7 4 2" xfId="8203"/>
    <cellStyle name="40% - Accent2 7 4 3" xfId="21634"/>
    <cellStyle name="40% - Accent2 7 5" xfId="8204"/>
    <cellStyle name="40% - Accent2 7 6" xfId="19040"/>
    <cellStyle name="40% - Accent2 8" xfId="8205"/>
    <cellStyle name="40% - Accent2 8 2" xfId="8206"/>
    <cellStyle name="40% - Accent2 8 2 2" xfId="8207"/>
    <cellStyle name="40% - Accent2 8 2 2 2" xfId="8208"/>
    <cellStyle name="40% - Accent2 8 2 2 3" xfId="23246"/>
    <cellStyle name="40% - Accent2 8 2 3" xfId="8209"/>
    <cellStyle name="40% - Accent2 8 2 4" xfId="20663"/>
    <cellStyle name="40% - Accent2 8 3" xfId="8210"/>
    <cellStyle name="40% - Accent2 8 3 2" xfId="8211"/>
    <cellStyle name="40% - Accent2 8 3 3" xfId="21956"/>
    <cellStyle name="40% - Accent2 8 4" xfId="8212"/>
    <cellStyle name="40% - Accent2 8 5" xfId="19366"/>
    <cellStyle name="40% - Accent2 9" xfId="8213"/>
    <cellStyle name="40% - Accent2 9 2" xfId="8214"/>
    <cellStyle name="40% - Accent2 9 2 2" xfId="8215"/>
    <cellStyle name="40% - Accent2 9 2 3" xfId="22601"/>
    <cellStyle name="40% - Accent2 9 3" xfId="8216"/>
    <cellStyle name="40% - Accent2 9 4" xfId="20014"/>
    <cellStyle name="40% - Accent3 10" xfId="8217"/>
    <cellStyle name="40% - Accent3 10 2" xfId="8218"/>
    <cellStyle name="40% - Accent3 10 3" xfId="21309"/>
    <cellStyle name="40% - Accent3 11" xfId="8219"/>
    <cellStyle name="40% - Accent3 12" xfId="8220"/>
    <cellStyle name="40% - Accent3 13" xfId="8221"/>
    <cellStyle name="40% - Accent3 14" xfId="8222"/>
    <cellStyle name="40% - Accent3 15" xfId="18618"/>
    <cellStyle name="40% - Accent3 2" xfId="8223"/>
    <cellStyle name="40% - Accent3 2 10" xfId="8224"/>
    <cellStyle name="40% - Accent3 2 11" xfId="18638"/>
    <cellStyle name="40% - Accent3 2 2" xfId="8225"/>
    <cellStyle name="40% - Accent3 2 2 10" xfId="18725"/>
    <cellStyle name="40% - Accent3 2 2 2" xfId="8226"/>
    <cellStyle name="40% - Accent3 2 2 2 2" xfId="8227"/>
    <cellStyle name="40% - Accent3 2 2 2 2 2" xfId="8228"/>
    <cellStyle name="40% - Accent3 2 2 2 2 2 2" xfId="8229"/>
    <cellStyle name="40% - Accent3 2 2 2 2 2 2 2" xfId="8230"/>
    <cellStyle name="40% - Accent3 2 2 2 2 2 2 2 2" xfId="8231"/>
    <cellStyle name="40% - Accent3 2 2 2 2 2 2 2 2 2" xfId="8232"/>
    <cellStyle name="40% - Accent3 2 2 2 2 2 2 2 2 2 2" xfId="8233"/>
    <cellStyle name="40% - Accent3 2 2 2 2 2 2 2 2 2 3" xfId="23882"/>
    <cellStyle name="40% - Accent3 2 2 2 2 2 2 2 2 3" xfId="8234"/>
    <cellStyle name="40% - Accent3 2 2 2 2 2 2 2 2 4" xfId="21299"/>
    <cellStyle name="40% - Accent3 2 2 2 2 2 2 2 3" xfId="8235"/>
    <cellStyle name="40% - Accent3 2 2 2 2 2 2 2 3 2" xfId="8236"/>
    <cellStyle name="40% - Accent3 2 2 2 2 2 2 2 3 3" xfId="22592"/>
    <cellStyle name="40% - Accent3 2 2 2 2 2 2 2 4" xfId="8237"/>
    <cellStyle name="40% - Accent3 2 2 2 2 2 2 2 5" xfId="20005"/>
    <cellStyle name="40% - Accent3 2 2 2 2 2 2 3" xfId="8238"/>
    <cellStyle name="40% - Accent3 2 2 2 2 2 2 3 2" xfId="8239"/>
    <cellStyle name="40% - Accent3 2 2 2 2 2 2 3 2 2" xfId="8240"/>
    <cellStyle name="40% - Accent3 2 2 2 2 2 2 3 2 3" xfId="23237"/>
    <cellStyle name="40% - Accent3 2 2 2 2 2 2 3 3" xfId="8241"/>
    <cellStyle name="40% - Accent3 2 2 2 2 2 2 3 4" xfId="20654"/>
    <cellStyle name="40% - Accent3 2 2 2 2 2 2 4" xfId="8242"/>
    <cellStyle name="40% - Accent3 2 2 2 2 2 2 4 2" xfId="8243"/>
    <cellStyle name="40% - Accent3 2 2 2 2 2 2 4 3" xfId="21947"/>
    <cellStyle name="40% - Accent3 2 2 2 2 2 2 5" xfId="8244"/>
    <cellStyle name="40% - Accent3 2 2 2 2 2 2 6" xfId="19357"/>
    <cellStyle name="40% - Accent3 2 2 2 2 2 3" xfId="8245"/>
    <cellStyle name="40% - Accent3 2 2 2 2 2 3 2" xfId="8246"/>
    <cellStyle name="40% - Accent3 2 2 2 2 2 3 2 2" xfId="8247"/>
    <cellStyle name="40% - Accent3 2 2 2 2 2 3 2 2 2" xfId="8248"/>
    <cellStyle name="40% - Accent3 2 2 2 2 2 3 2 2 3" xfId="23560"/>
    <cellStyle name="40% - Accent3 2 2 2 2 2 3 2 3" xfId="8249"/>
    <cellStyle name="40% - Accent3 2 2 2 2 2 3 2 4" xfId="20977"/>
    <cellStyle name="40% - Accent3 2 2 2 2 2 3 3" xfId="8250"/>
    <cellStyle name="40% - Accent3 2 2 2 2 2 3 3 2" xfId="8251"/>
    <cellStyle name="40% - Accent3 2 2 2 2 2 3 3 3" xfId="22270"/>
    <cellStyle name="40% - Accent3 2 2 2 2 2 3 4" xfId="8252"/>
    <cellStyle name="40% - Accent3 2 2 2 2 2 3 5" xfId="19683"/>
    <cellStyle name="40% - Accent3 2 2 2 2 2 4" xfId="8253"/>
    <cellStyle name="40% - Accent3 2 2 2 2 2 4 2" xfId="8254"/>
    <cellStyle name="40% - Accent3 2 2 2 2 2 4 2 2" xfId="8255"/>
    <cellStyle name="40% - Accent3 2 2 2 2 2 4 2 3" xfId="22915"/>
    <cellStyle name="40% - Accent3 2 2 2 2 2 4 3" xfId="8256"/>
    <cellStyle name="40% - Accent3 2 2 2 2 2 4 4" xfId="20332"/>
    <cellStyle name="40% - Accent3 2 2 2 2 2 5" xfId="8257"/>
    <cellStyle name="40% - Accent3 2 2 2 2 2 5 2" xfId="8258"/>
    <cellStyle name="40% - Accent3 2 2 2 2 2 5 3" xfId="21625"/>
    <cellStyle name="40% - Accent3 2 2 2 2 2 6" xfId="8259"/>
    <cellStyle name="40% - Accent3 2 2 2 2 2 7" xfId="19031"/>
    <cellStyle name="40% - Accent3 2 2 2 2 3" xfId="8260"/>
    <cellStyle name="40% - Accent3 2 2 2 2 3 2" xfId="8261"/>
    <cellStyle name="40% - Accent3 2 2 2 2 3 2 2" xfId="8262"/>
    <cellStyle name="40% - Accent3 2 2 2 2 3 2 2 2" xfId="8263"/>
    <cellStyle name="40% - Accent3 2 2 2 2 3 2 2 2 2" xfId="8264"/>
    <cellStyle name="40% - Accent3 2 2 2 2 3 2 2 2 3" xfId="23721"/>
    <cellStyle name="40% - Accent3 2 2 2 2 3 2 2 3" xfId="8265"/>
    <cellStyle name="40% - Accent3 2 2 2 2 3 2 2 4" xfId="21138"/>
    <cellStyle name="40% - Accent3 2 2 2 2 3 2 3" xfId="8266"/>
    <cellStyle name="40% - Accent3 2 2 2 2 3 2 3 2" xfId="8267"/>
    <cellStyle name="40% - Accent3 2 2 2 2 3 2 3 3" xfId="22431"/>
    <cellStyle name="40% - Accent3 2 2 2 2 3 2 4" xfId="8268"/>
    <cellStyle name="40% - Accent3 2 2 2 2 3 2 5" xfId="19844"/>
    <cellStyle name="40% - Accent3 2 2 2 2 3 3" xfId="8269"/>
    <cellStyle name="40% - Accent3 2 2 2 2 3 3 2" xfId="8270"/>
    <cellStyle name="40% - Accent3 2 2 2 2 3 3 2 2" xfId="8271"/>
    <cellStyle name="40% - Accent3 2 2 2 2 3 3 2 3" xfId="23076"/>
    <cellStyle name="40% - Accent3 2 2 2 2 3 3 3" xfId="8272"/>
    <cellStyle name="40% - Accent3 2 2 2 2 3 3 4" xfId="20493"/>
    <cellStyle name="40% - Accent3 2 2 2 2 3 4" xfId="8273"/>
    <cellStyle name="40% - Accent3 2 2 2 2 3 4 2" xfId="8274"/>
    <cellStyle name="40% - Accent3 2 2 2 2 3 4 3" xfId="21786"/>
    <cellStyle name="40% - Accent3 2 2 2 2 3 5" xfId="8275"/>
    <cellStyle name="40% - Accent3 2 2 2 2 3 6" xfId="19196"/>
    <cellStyle name="40% - Accent3 2 2 2 2 4" xfId="8276"/>
    <cellStyle name="40% - Accent3 2 2 2 2 4 2" xfId="8277"/>
    <cellStyle name="40% - Accent3 2 2 2 2 4 2 2" xfId="8278"/>
    <cellStyle name="40% - Accent3 2 2 2 2 4 2 2 2" xfId="8279"/>
    <cellStyle name="40% - Accent3 2 2 2 2 4 2 2 3" xfId="23399"/>
    <cellStyle name="40% - Accent3 2 2 2 2 4 2 3" xfId="8280"/>
    <cellStyle name="40% - Accent3 2 2 2 2 4 2 4" xfId="20816"/>
    <cellStyle name="40% - Accent3 2 2 2 2 4 3" xfId="8281"/>
    <cellStyle name="40% - Accent3 2 2 2 2 4 3 2" xfId="8282"/>
    <cellStyle name="40% - Accent3 2 2 2 2 4 3 3" xfId="22109"/>
    <cellStyle name="40% - Accent3 2 2 2 2 4 4" xfId="8283"/>
    <cellStyle name="40% - Accent3 2 2 2 2 4 5" xfId="19522"/>
    <cellStyle name="40% - Accent3 2 2 2 2 5" xfId="8284"/>
    <cellStyle name="40% - Accent3 2 2 2 2 5 2" xfId="8285"/>
    <cellStyle name="40% - Accent3 2 2 2 2 5 2 2" xfId="8286"/>
    <cellStyle name="40% - Accent3 2 2 2 2 5 2 3" xfId="22754"/>
    <cellStyle name="40% - Accent3 2 2 2 2 5 3" xfId="8287"/>
    <cellStyle name="40% - Accent3 2 2 2 2 5 4" xfId="20171"/>
    <cellStyle name="40% - Accent3 2 2 2 2 6" xfId="8288"/>
    <cellStyle name="40% - Accent3 2 2 2 2 6 2" xfId="8289"/>
    <cellStyle name="40% - Accent3 2 2 2 2 6 3" xfId="21464"/>
    <cellStyle name="40% - Accent3 2 2 2 2 7" xfId="8290"/>
    <cellStyle name="40% - Accent3 2 2 2 2 8" xfId="18866"/>
    <cellStyle name="40% - Accent3 2 2 2 3" xfId="8291"/>
    <cellStyle name="40% - Accent3 2 2 2 3 2" xfId="8292"/>
    <cellStyle name="40% - Accent3 2 2 2 3 2 2" xfId="8293"/>
    <cellStyle name="40% - Accent3 2 2 2 3 2 2 2" xfId="8294"/>
    <cellStyle name="40% - Accent3 2 2 2 3 2 2 2 2" xfId="8295"/>
    <cellStyle name="40% - Accent3 2 2 2 3 2 2 2 2 2" xfId="8296"/>
    <cellStyle name="40% - Accent3 2 2 2 3 2 2 2 2 3" xfId="23802"/>
    <cellStyle name="40% - Accent3 2 2 2 3 2 2 2 3" xfId="8297"/>
    <cellStyle name="40% - Accent3 2 2 2 3 2 2 2 4" xfId="21219"/>
    <cellStyle name="40% - Accent3 2 2 2 3 2 2 3" xfId="8298"/>
    <cellStyle name="40% - Accent3 2 2 2 3 2 2 3 2" xfId="8299"/>
    <cellStyle name="40% - Accent3 2 2 2 3 2 2 3 3" xfId="22512"/>
    <cellStyle name="40% - Accent3 2 2 2 3 2 2 4" xfId="8300"/>
    <cellStyle name="40% - Accent3 2 2 2 3 2 2 5" xfId="19925"/>
    <cellStyle name="40% - Accent3 2 2 2 3 2 3" xfId="8301"/>
    <cellStyle name="40% - Accent3 2 2 2 3 2 3 2" xfId="8302"/>
    <cellStyle name="40% - Accent3 2 2 2 3 2 3 2 2" xfId="8303"/>
    <cellStyle name="40% - Accent3 2 2 2 3 2 3 2 3" xfId="23157"/>
    <cellStyle name="40% - Accent3 2 2 2 3 2 3 3" xfId="8304"/>
    <cellStyle name="40% - Accent3 2 2 2 3 2 3 4" xfId="20574"/>
    <cellStyle name="40% - Accent3 2 2 2 3 2 4" xfId="8305"/>
    <cellStyle name="40% - Accent3 2 2 2 3 2 4 2" xfId="8306"/>
    <cellStyle name="40% - Accent3 2 2 2 3 2 4 3" xfId="21867"/>
    <cellStyle name="40% - Accent3 2 2 2 3 2 5" xfId="8307"/>
    <cellStyle name="40% - Accent3 2 2 2 3 2 6" xfId="19277"/>
    <cellStyle name="40% - Accent3 2 2 2 3 3" xfId="8308"/>
    <cellStyle name="40% - Accent3 2 2 2 3 3 2" xfId="8309"/>
    <cellStyle name="40% - Accent3 2 2 2 3 3 2 2" xfId="8310"/>
    <cellStyle name="40% - Accent3 2 2 2 3 3 2 2 2" xfId="8311"/>
    <cellStyle name="40% - Accent3 2 2 2 3 3 2 2 3" xfId="23480"/>
    <cellStyle name="40% - Accent3 2 2 2 3 3 2 3" xfId="8312"/>
    <cellStyle name="40% - Accent3 2 2 2 3 3 2 4" xfId="20897"/>
    <cellStyle name="40% - Accent3 2 2 2 3 3 3" xfId="8313"/>
    <cellStyle name="40% - Accent3 2 2 2 3 3 3 2" xfId="8314"/>
    <cellStyle name="40% - Accent3 2 2 2 3 3 3 3" xfId="22190"/>
    <cellStyle name="40% - Accent3 2 2 2 3 3 4" xfId="8315"/>
    <cellStyle name="40% - Accent3 2 2 2 3 3 5" xfId="19603"/>
    <cellStyle name="40% - Accent3 2 2 2 3 4" xfId="8316"/>
    <cellStyle name="40% - Accent3 2 2 2 3 4 2" xfId="8317"/>
    <cellStyle name="40% - Accent3 2 2 2 3 4 2 2" xfId="8318"/>
    <cellStyle name="40% - Accent3 2 2 2 3 4 2 3" xfId="22835"/>
    <cellStyle name="40% - Accent3 2 2 2 3 4 3" xfId="8319"/>
    <cellStyle name="40% - Accent3 2 2 2 3 4 4" xfId="20252"/>
    <cellStyle name="40% - Accent3 2 2 2 3 5" xfId="8320"/>
    <cellStyle name="40% - Accent3 2 2 2 3 5 2" xfId="8321"/>
    <cellStyle name="40% - Accent3 2 2 2 3 5 3" xfId="21545"/>
    <cellStyle name="40% - Accent3 2 2 2 3 6" xfId="8322"/>
    <cellStyle name="40% - Accent3 2 2 2 3 7" xfId="18951"/>
    <cellStyle name="40% - Accent3 2 2 2 4" xfId="8323"/>
    <cellStyle name="40% - Accent3 2 2 2 4 2" xfId="8324"/>
    <cellStyle name="40% - Accent3 2 2 2 4 2 2" xfId="8325"/>
    <cellStyle name="40% - Accent3 2 2 2 4 2 2 2" xfId="8326"/>
    <cellStyle name="40% - Accent3 2 2 2 4 2 2 2 2" xfId="8327"/>
    <cellStyle name="40% - Accent3 2 2 2 4 2 2 2 3" xfId="23641"/>
    <cellStyle name="40% - Accent3 2 2 2 4 2 2 3" xfId="8328"/>
    <cellStyle name="40% - Accent3 2 2 2 4 2 2 4" xfId="21058"/>
    <cellStyle name="40% - Accent3 2 2 2 4 2 3" xfId="8329"/>
    <cellStyle name="40% - Accent3 2 2 2 4 2 3 2" xfId="8330"/>
    <cellStyle name="40% - Accent3 2 2 2 4 2 3 3" xfId="22351"/>
    <cellStyle name="40% - Accent3 2 2 2 4 2 4" xfId="8331"/>
    <cellStyle name="40% - Accent3 2 2 2 4 2 5" xfId="19764"/>
    <cellStyle name="40% - Accent3 2 2 2 4 3" xfId="8332"/>
    <cellStyle name="40% - Accent3 2 2 2 4 3 2" xfId="8333"/>
    <cellStyle name="40% - Accent3 2 2 2 4 3 2 2" xfId="8334"/>
    <cellStyle name="40% - Accent3 2 2 2 4 3 2 3" xfId="22996"/>
    <cellStyle name="40% - Accent3 2 2 2 4 3 3" xfId="8335"/>
    <cellStyle name="40% - Accent3 2 2 2 4 3 4" xfId="20413"/>
    <cellStyle name="40% - Accent3 2 2 2 4 4" xfId="8336"/>
    <cellStyle name="40% - Accent3 2 2 2 4 4 2" xfId="8337"/>
    <cellStyle name="40% - Accent3 2 2 2 4 4 3" xfId="21706"/>
    <cellStyle name="40% - Accent3 2 2 2 4 5" xfId="8338"/>
    <cellStyle name="40% - Accent3 2 2 2 4 6" xfId="19116"/>
    <cellStyle name="40% - Accent3 2 2 2 5" xfId="8339"/>
    <cellStyle name="40% - Accent3 2 2 2 5 2" xfId="8340"/>
    <cellStyle name="40% - Accent3 2 2 2 5 2 2" xfId="8341"/>
    <cellStyle name="40% - Accent3 2 2 2 5 2 2 2" xfId="8342"/>
    <cellStyle name="40% - Accent3 2 2 2 5 2 2 3" xfId="23318"/>
    <cellStyle name="40% - Accent3 2 2 2 5 2 3" xfId="8343"/>
    <cellStyle name="40% - Accent3 2 2 2 5 2 4" xfId="20735"/>
    <cellStyle name="40% - Accent3 2 2 2 5 3" xfId="8344"/>
    <cellStyle name="40% - Accent3 2 2 2 5 3 2" xfId="8345"/>
    <cellStyle name="40% - Accent3 2 2 2 5 3 3" xfId="22028"/>
    <cellStyle name="40% - Accent3 2 2 2 5 4" xfId="8346"/>
    <cellStyle name="40% - Accent3 2 2 2 5 5" xfId="19442"/>
    <cellStyle name="40% - Accent3 2 2 2 6" xfId="8347"/>
    <cellStyle name="40% - Accent3 2 2 2 6 2" xfId="8348"/>
    <cellStyle name="40% - Accent3 2 2 2 6 2 2" xfId="8349"/>
    <cellStyle name="40% - Accent3 2 2 2 6 2 3" xfId="22673"/>
    <cellStyle name="40% - Accent3 2 2 2 6 3" xfId="8350"/>
    <cellStyle name="40% - Accent3 2 2 2 6 4" xfId="20090"/>
    <cellStyle name="40% - Accent3 2 2 2 7" xfId="8351"/>
    <cellStyle name="40% - Accent3 2 2 2 7 2" xfId="8352"/>
    <cellStyle name="40% - Accent3 2 2 2 7 3" xfId="21383"/>
    <cellStyle name="40% - Accent3 2 2 2 8" xfId="8353"/>
    <cellStyle name="40% - Accent3 2 2 2 9" xfId="18769"/>
    <cellStyle name="40% - Accent3 2 2 3" xfId="8354"/>
    <cellStyle name="40% - Accent3 2 2 3 2" xfId="8355"/>
    <cellStyle name="40% - Accent3 2 2 3 2 2" xfId="8356"/>
    <cellStyle name="40% - Accent3 2 2 3 2 2 2" xfId="8357"/>
    <cellStyle name="40% - Accent3 2 2 3 2 2 2 2" xfId="8358"/>
    <cellStyle name="40% - Accent3 2 2 3 2 2 2 2 2" xfId="8359"/>
    <cellStyle name="40% - Accent3 2 2 3 2 2 2 2 2 2" xfId="8360"/>
    <cellStyle name="40% - Accent3 2 2 3 2 2 2 2 2 3" xfId="23842"/>
    <cellStyle name="40% - Accent3 2 2 3 2 2 2 2 3" xfId="8361"/>
    <cellStyle name="40% - Accent3 2 2 3 2 2 2 2 4" xfId="21259"/>
    <cellStyle name="40% - Accent3 2 2 3 2 2 2 3" xfId="8362"/>
    <cellStyle name="40% - Accent3 2 2 3 2 2 2 3 2" xfId="8363"/>
    <cellStyle name="40% - Accent3 2 2 3 2 2 2 3 3" xfId="22552"/>
    <cellStyle name="40% - Accent3 2 2 3 2 2 2 4" xfId="8364"/>
    <cellStyle name="40% - Accent3 2 2 3 2 2 2 5" xfId="19965"/>
    <cellStyle name="40% - Accent3 2 2 3 2 2 3" xfId="8365"/>
    <cellStyle name="40% - Accent3 2 2 3 2 2 3 2" xfId="8366"/>
    <cellStyle name="40% - Accent3 2 2 3 2 2 3 2 2" xfId="8367"/>
    <cellStyle name="40% - Accent3 2 2 3 2 2 3 2 3" xfId="23197"/>
    <cellStyle name="40% - Accent3 2 2 3 2 2 3 3" xfId="8368"/>
    <cellStyle name="40% - Accent3 2 2 3 2 2 3 4" xfId="20614"/>
    <cellStyle name="40% - Accent3 2 2 3 2 2 4" xfId="8369"/>
    <cellStyle name="40% - Accent3 2 2 3 2 2 4 2" xfId="8370"/>
    <cellStyle name="40% - Accent3 2 2 3 2 2 4 3" xfId="21907"/>
    <cellStyle name="40% - Accent3 2 2 3 2 2 5" xfId="8371"/>
    <cellStyle name="40% - Accent3 2 2 3 2 2 6" xfId="19317"/>
    <cellStyle name="40% - Accent3 2 2 3 2 3" xfId="8372"/>
    <cellStyle name="40% - Accent3 2 2 3 2 3 2" xfId="8373"/>
    <cellStyle name="40% - Accent3 2 2 3 2 3 2 2" xfId="8374"/>
    <cellStyle name="40% - Accent3 2 2 3 2 3 2 2 2" xfId="8375"/>
    <cellStyle name="40% - Accent3 2 2 3 2 3 2 2 3" xfId="23520"/>
    <cellStyle name="40% - Accent3 2 2 3 2 3 2 3" xfId="8376"/>
    <cellStyle name="40% - Accent3 2 2 3 2 3 2 4" xfId="20937"/>
    <cellStyle name="40% - Accent3 2 2 3 2 3 3" xfId="8377"/>
    <cellStyle name="40% - Accent3 2 2 3 2 3 3 2" xfId="8378"/>
    <cellStyle name="40% - Accent3 2 2 3 2 3 3 3" xfId="22230"/>
    <cellStyle name="40% - Accent3 2 2 3 2 3 4" xfId="8379"/>
    <cellStyle name="40% - Accent3 2 2 3 2 3 5" xfId="19643"/>
    <cellStyle name="40% - Accent3 2 2 3 2 4" xfId="8380"/>
    <cellStyle name="40% - Accent3 2 2 3 2 4 2" xfId="8381"/>
    <cellStyle name="40% - Accent3 2 2 3 2 4 2 2" xfId="8382"/>
    <cellStyle name="40% - Accent3 2 2 3 2 4 2 3" xfId="22875"/>
    <cellStyle name="40% - Accent3 2 2 3 2 4 3" xfId="8383"/>
    <cellStyle name="40% - Accent3 2 2 3 2 4 4" xfId="20292"/>
    <cellStyle name="40% - Accent3 2 2 3 2 5" xfId="8384"/>
    <cellStyle name="40% - Accent3 2 2 3 2 5 2" xfId="8385"/>
    <cellStyle name="40% - Accent3 2 2 3 2 5 3" xfId="21585"/>
    <cellStyle name="40% - Accent3 2 2 3 2 6" xfId="8386"/>
    <cellStyle name="40% - Accent3 2 2 3 2 7" xfId="18991"/>
    <cellStyle name="40% - Accent3 2 2 3 3" xfId="8387"/>
    <cellStyle name="40% - Accent3 2 2 3 3 2" xfId="8388"/>
    <cellStyle name="40% - Accent3 2 2 3 3 2 2" xfId="8389"/>
    <cellStyle name="40% - Accent3 2 2 3 3 2 2 2" xfId="8390"/>
    <cellStyle name="40% - Accent3 2 2 3 3 2 2 2 2" xfId="8391"/>
    <cellStyle name="40% - Accent3 2 2 3 3 2 2 2 3" xfId="23681"/>
    <cellStyle name="40% - Accent3 2 2 3 3 2 2 3" xfId="8392"/>
    <cellStyle name="40% - Accent3 2 2 3 3 2 2 4" xfId="21098"/>
    <cellStyle name="40% - Accent3 2 2 3 3 2 3" xfId="8393"/>
    <cellStyle name="40% - Accent3 2 2 3 3 2 3 2" xfId="8394"/>
    <cellStyle name="40% - Accent3 2 2 3 3 2 3 3" xfId="22391"/>
    <cellStyle name="40% - Accent3 2 2 3 3 2 4" xfId="8395"/>
    <cellStyle name="40% - Accent3 2 2 3 3 2 5" xfId="19804"/>
    <cellStyle name="40% - Accent3 2 2 3 3 3" xfId="8396"/>
    <cellStyle name="40% - Accent3 2 2 3 3 3 2" xfId="8397"/>
    <cellStyle name="40% - Accent3 2 2 3 3 3 2 2" xfId="8398"/>
    <cellStyle name="40% - Accent3 2 2 3 3 3 2 3" xfId="23036"/>
    <cellStyle name="40% - Accent3 2 2 3 3 3 3" xfId="8399"/>
    <cellStyle name="40% - Accent3 2 2 3 3 3 4" xfId="20453"/>
    <cellStyle name="40% - Accent3 2 2 3 3 4" xfId="8400"/>
    <cellStyle name="40% - Accent3 2 2 3 3 4 2" xfId="8401"/>
    <cellStyle name="40% - Accent3 2 2 3 3 4 3" xfId="21746"/>
    <cellStyle name="40% - Accent3 2 2 3 3 5" xfId="8402"/>
    <cellStyle name="40% - Accent3 2 2 3 3 6" xfId="19156"/>
    <cellStyle name="40% - Accent3 2 2 3 4" xfId="8403"/>
    <cellStyle name="40% - Accent3 2 2 3 4 2" xfId="8404"/>
    <cellStyle name="40% - Accent3 2 2 3 4 2 2" xfId="8405"/>
    <cellStyle name="40% - Accent3 2 2 3 4 2 2 2" xfId="8406"/>
    <cellStyle name="40% - Accent3 2 2 3 4 2 2 3" xfId="23359"/>
    <cellStyle name="40% - Accent3 2 2 3 4 2 3" xfId="8407"/>
    <cellStyle name="40% - Accent3 2 2 3 4 2 4" xfId="20776"/>
    <cellStyle name="40% - Accent3 2 2 3 4 3" xfId="8408"/>
    <cellStyle name="40% - Accent3 2 2 3 4 3 2" xfId="8409"/>
    <cellStyle name="40% - Accent3 2 2 3 4 3 3" xfId="22069"/>
    <cellStyle name="40% - Accent3 2 2 3 4 4" xfId="8410"/>
    <cellStyle name="40% - Accent3 2 2 3 4 5" xfId="19482"/>
    <cellStyle name="40% - Accent3 2 2 3 5" xfId="8411"/>
    <cellStyle name="40% - Accent3 2 2 3 5 2" xfId="8412"/>
    <cellStyle name="40% - Accent3 2 2 3 5 2 2" xfId="8413"/>
    <cellStyle name="40% - Accent3 2 2 3 5 2 3" xfId="22714"/>
    <cellStyle name="40% - Accent3 2 2 3 5 3" xfId="8414"/>
    <cellStyle name="40% - Accent3 2 2 3 5 4" xfId="20131"/>
    <cellStyle name="40% - Accent3 2 2 3 6" xfId="8415"/>
    <cellStyle name="40% - Accent3 2 2 3 6 2" xfId="8416"/>
    <cellStyle name="40% - Accent3 2 2 3 6 3" xfId="21424"/>
    <cellStyle name="40% - Accent3 2 2 3 7" xfId="8417"/>
    <cellStyle name="40% - Accent3 2 2 3 8" xfId="18825"/>
    <cellStyle name="40% - Accent3 2 2 4" xfId="8418"/>
    <cellStyle name="40% - Accent3 2 2 4 2" xfId="8419"/>
    <cellStyle name="40% - Accent3 2 2 4 2 2" xfId="8420"/>
    <cellStyle name="40% - Accent3 2 2 4 2 2 2" xfId="8421"/>
    <cellStyle name="40% - Accent3 2 2 4 2 2 2 2" xfId="8422"/>
    <cellStyle name="40% - Accent3 2 2 4 2 2 2 2 2" xfId="8423"/>
    <cellStyle name="40% - Accent3 2 2 4 2 2 2 2 3" xfId="23762"/>
    <cellStyle name="40% - Accent3 2 2 4 2 2 2 3" xfId="8424"/>
    <cellStyle name="40% - Accent3 2 2 4 2 2 2 4" xfId="21179"/>
    <cellStyle name="40% - Accent3 2 2 4 2 2 3" xfId="8425"/>
    <cellStyle name="40% - Accent3 2 2 4 2 2 3 2" xfId="8426"/>
    <cellStyle name="40% - Accent3 2 2 4 2 2 3 3" xfId="22472"/>
    <cellStyle name="40% - Accent3 2 2 4 2 2 4" xfId="8427"/>
    <cellStyle name="40% - Accent3 2 2 4 2 2 5" xfId="19885"/>
    <cellStyle name="40% - Accent3 2 2 4 2 3" xfId="8428"/>
    <cellStyle name="40% - Accent3 2 2 4 2 3 2" xfId="8429"/>
    <cellStyle name="40% - Accent3 2 2 4 2 3 2 2" xfId="8430"/>
    <cellStyle name="40% - Accent3 2 2 4 2 3 2 3" xfId="23117"/>
    <cellStyle name="40% - Accent3 2 2 4 2 3 3" xfId="8431"/>
    <cellStyle name="40% - Accent3 2 2 4 2 3 4" xfId="20534"/>
    <cellStyle name="40% - Accent3 2 2 4 2 4" xfId="8432"/>
    <cellStyle name="40% - Accent3 2 2 4 2 4 2" xfId="8433"/>
    <cellStyle name="40% - Accent3 2 2 4 2 4 3" xfId="21827"/>
    <cellStyle name="40% - Accent3 2 2 4 2 5" xfId="8434"/>
    <cellStyle name="40% - Accent3 2 2 4 2 6" xfId="19237"/>
    <cellStyle name="40% - Accent3 2 2 4 3" xfId="8435"/>
    <cellStyle name="40% - Accent3 2 2 4 3 2" xfId="8436"/>
    <cellStyle name="40% - Accent3 2 2 4 3 2 2" xfId="8437"/>
    <cellStyle name="40% - Accent3 2 2 4 3 2 2 2" xfId="8438"/>
    <cellStyle name="40% - Accent3 2 2 4 3 2 2 3" xfId="23440"/>
    <cellStyle name="40% - Accent3 2 2 4 3 2 3" xfId="8439"/>
    <cellStyle name="40% - Accent3 2 2 4 3 2 4" xfId="20857"/>
    <cellStyle name="40% - Accent3 2 2 4 3 3" xfId="8440"/>
    <cellStyle name="40% - Accent3 2 2 4 3 3 2" xfId="8441"/>
    <cellStyle name="40% - Accent3 2 2 4 3 3 3" xfId="22150"/>
    <cellStyle name="40% - Accent3 2 2 4 3 4" xfId="8442"/>
    <cellStyle name="40% - Accent3 2 2 4 3 5" xfId="19563"/>
    <cellStyle name="40% - Accent3 2 2 4 4" xfId="8443"/>
    <cellStyle name="40% - Accent3 2 2 4 4 2" xfId="8444"/>
    <cellStyle name="40% - Accent3 2 2 4 4 2 2" xfId="8445"/>
    <cellStyle name="40% - Accent3 2 2 4 4 2 3" xfId="22795"/>
    <cellStyle name="40% - Accent3 2 2 4 4 3" xfId="8446"/>
    <cellStyle name="40% - Accent3 2 2 4 4 4" xfId="20212"/>
    <cellStyle name="40% - Accent3 2 2 4 5" xfId="8447"/>
    <cellStyle name="40% - Accent3 2 2 4 5 2" xfId="8448"/>
    <cellStyle name="40% - Accent3 2 2 4 5 3" xfId="21505"/>
    <cellStyle name="40% - Accent3 2 2 4 6" xfId="8449"/>
    <cellStyle name="40% - Accent3 2 2 4 7" xfId="18911"/>
    <cellStyle name="40% - Accent3 2 2 5" xfId="8450"/>
    <cellStyle name="40% - Accent3 2 2 5 2" xfId="8451"/>
    <cellStyle name="40% - Accent3 2 2 5 2 2" xfId="8452"/>
    <cellStyle name="40% - Accent3 2 2 5 2 2 2" xfId="8453"/>
    <cellStyle name="40% - Accent3 2 2 5 2 2 2 2" xfId="8454"/>
    <cellStyle name="40% - Accent3 2 2 5 2 2 2 3" xfId="23601"/>
    <cellStyle name="40% - Accent3 2 2 5 2 2 3" xfId="8455"/>
    <cellStyle name="40% - Accent3 2 2 5 2 2 4" xfId="21018"/>
    <cellStyle name="40% - Accent3 2 2 5 2 3" xfId="8456"/>
    <cellStyle name="40% - Accent3 2 2 5 2 3 2" xfId="8457"/>
    <cellStyle name="40% - Accent3 2 2 5 2 3 3" xfId="22311"/>
    <cellStyle name="40% - Accent3 2 2 5 2 4" xfId="8458"/>
    <cellStyle name="40% - Accent3 2 2 5 2 5" xfId="19724"/>
    <cellStyle name="40% - Accent3 2 2 5 3" xfId="8459"/>
    <cellStyle name="40% - Accent3 2 2 5 3 2" xfId="8460"/>
    <cellStyle name="40% - Accent3 2 2 5 3 2 2" xfId="8461"/>
    <cellStyle name="40% - Accent3 2 2 5 3 2 3" xfId="22956"/>
    <cellStyle name="40% - Accent3 2 2 5 3 3" xfId="8462"/>
    <cellStyle name="40% - Accent3 2 2 5 3 4" xfId="20373"/>
    <cellStyle name="40% - Accent3 2 2 5 4" xfId="8463"/>
    <cellStyle name="40% - Accent3 2 2 5 4 2" xfId="8464"/>
    <cellStyle name="40% - Accent3 2 2 5 4 3" xfId="21666"/>
    <cellStyle name="40% - Accent3 2 2 5 5" xfId="8465"/>
    <cellStyle name="40% - Accent3 2 2 5 6" xfId="19076"/>
    <cellStyle name="40% - Accent3 2 2 6" xfId="8466"/>
    <cellStyle name="40% - Accent3 2 2 6 2" xfId="8467"/>
    <cellStyle name="40% - Accent3 2 2 6 2 2" xfId="8468"/>
    <cellStyle name="40% - Accent3 2 2 6 2 2 2" xfId="8469"/>
    <cellStyle name="40% - Accent3 2 2 6 2 2 3" xfId="23278"/>
    <cellStyle name="40% - Accent3 2 2 6 2 3" xfId="8470"/>
    <cellStyle name="40% - Accent3 2 2 6 2 4" xfId="20695"/>
    <cellStyle name="40% - Accent3 2 2 6 3" xfId="8471"/>
    <cellStyle name="40% - Accent3 2 2 6 3 2" xfId="8472"/>
    <cellStyle name="40% - Accent3 2 2 6 3 3" xfId="21988"/>
    <cellStyle name="40% - Accent3 2 2 6 4" xfId="8473"/>
    <cellStyle name="40% - Accent3 2 2 6 5" xfId="19402"/>
    <cellStyle name="40% - Accent3 2 2 7" xfId="8474"/>
    <cellStyle name="40% - Accent3 2 2 7 2" xfId="8475"/>
    <cellStyle name="40% - Accent3 2 2 7 2 2" xfId="8476"/>
    <cellStyle name="40% - Accent3 2 2 7 2 3" xfId="22633"/>
    <cellStyle name="40% - Accent3 2 2 7 3" xfId="8477"/>
    <cellStyle name="40% - Accent3 2 2 7 4" xfId="20050"/>
    <cellStyle name="40% - Accent3 2 2 8" xfId="8478"/>
    <cellStyle name="40% - Accent3 2 2 8 2" xfId="8479"/>
    <cellStyle name="40% - Accent3 2 2 8 3" xfId="21343"/>
    <cellStyle name="40% - Accent3 2 2 9" xfId="8480"/>
    <cellStyle name="40% - Accent3 2 3" xfId="8481"/>
    <cellStyle name="40% - Accent3 2 3 2" xfId="8482"/>
    <cellStyle name="40% - Accent3 2 3 2 2" xfId="8483"/>
    <cellStyle name="40% - Accent3 2 3 2 2 2" xfId="8484"/>
    <cellStyle name="40% - Accent3 2 3 2 2 2 2" xfId="8485"/>
    <cellStyle name="40% - Accent3 2 3 2 2 2 2 2" xfId="8486"/>
    <cellStyle name="40% - Accent3 2 3 2 2 2 2 2 2" xfId="8487"/>
    <cellStyle name="40% - Accent3 2 3 2 2 2 2 2 2 2" xfId="8488"/>
    <cellStyle name="40% - Accent3 2 3 2 2 2 2 2 2 3" xfId="23862"/>
    <cellStyle name="40% - Accent3 2 3 2 2 2 2 2 3" xfId="8489"/>
    <cellStyle name="40% - Accent3 2 3 2 2 2 2 2 4" xfId="21279"/>
    <cellStyle name="40% - Accent3 2 3 2 2 2 2 3" xfId="8490"/>
    <cellStyle name="40% - Accent3 2 3 2 2 2 2 3 2" xfId="8491"/>
    <cellStyle name="40% - Accent3 2 3 2 2 2 2 3 3" xfId="22572"/>
    <cellStyle name="40% - Accent3 2 3 2 2 2 2 4" xfId="8492"/>
    <cellStyle name="40% - Accent3 2 3 2 2 2 2 5" xfId="19985"/>
    <cellStyle name="40% - Accent3 2 3 2 2 2 3" xfId="8493"/>
    <cellStyle name="40% - Accent3 2 3 2 2 2 3 2" xfId="8494"/>
    <cellStyle name="40% - Accent3 2 3 2 2 2 3 2 2" xfId="8495"/>
    <cellStyle name="40% - Accent3 2 3 2 2 2 3 2 3" xfId="23217"/>
    <cellStyle name="40% - Accent3 2 3 2 2 2 3 3" xfId="8496"/>
    <cellStyle name="40% - Accent3 2 3 2 2 2 3 4" xfId="20634"/>
    <cellStyle name="40% - Accent3 2 3 2 2 2 4" xfId="8497"/>
    <cellStyle name="40% - Accent3 2 3 2 2 2 4 2" xfId="8498"/>
    <cellStyle name="40% - Accent3 2 3 2 2 2 4 3" xfId="21927"/>
    <cellStyle name="40% - Accent3 2 3 2 2 2 5" xfId="8499"/>
    <cellStyle name="40% - Accent3 2 3 2 2 2 6" xfId="19337"/>
    <cellStyle name="40% - Accent3 2 3 2 2 3" xfId="8500"/>
    <cellStyle name="40% - Accent3 2 3 2 2 3 2" xfId="8501"/>
    <cellStyle name="40% - Accent3 2 3 2 2 3 2 2" xfId="8502"/>
    <cellStyle name="40% - Accent3 2 3 2 2 3 2 2 2" xfId="8503"/>
    <cellStyle name="40% - Accent3 2 3 2 2 3 2 2 3" xfId="23540"/>
    <cellStyle name="40% - Accent3 2 3 2 2 3 2 3" xfId="8504"/>
    <cellStyle name="40% - Accent3 2 3 2 2 3 2 4" xfId="20957"/>
    <cellStyle name="40% - Accent3 2 3 2 2 3 3" xfId="8505"/>
    <cellStyle name="40% - Accent3 2 3 2 2 3 3 2" xfId="8506"/>
    <cellStyle name="40% - Accent3 2 3 2 2 3 3 3" xfId="22250"/>
    <cellStyle name="40% - Accent3 2 3 2 2 3 4" xfId="8507"/>
    <cellStyle name="40% - Accent3 2 3 2 2 3 5" xfId="19663"/>
    <cellStyle name="40% - Accent3 2 3 2 2 4" xfId="8508"/>
    <cellStyle name="40% - Accent3 2 3 2 2 4 2" xfId="8509"/>
    <cellStyle name="40% - Accent3 2 3 2 2 4 2 2" xfId="8510"/>
    <cellStyle name="40% - Accent3 2 3 2 2 4 2 3" xfId="22895"/>
    <cellStyle name="40% - Accent3 2 3 2 2 4 3" xfId="8511"/>
    <cellStyle name="40% - Accent3 2 3 2 2 4 4" xfId="20312"/>
    <cellStyle name="40% - Accent3 2 3 2 2 5" xfId="8512"/>
    <cellStyle name="40% - Accent3 2 3 2 2 5 2" xfId="8513"/>
    <cellStyle name="40% - Accent3 2 3 2 2 5 3" xfId="21605"/>
    <cellStyle name="40% - Accent3 2 3 2 2 6" xfId="8514"/>
    <cellStyle name="40% - Accent3 2 3 2 2 7" xfId="19011"/>
    <cellStyle name="40% - Accent3 2 3 2 3" xfId="8515"/>
    <cellStyle name="40% - Accent3 2 3 2 3 2" xfId="8516"/>
    <cellStyle name="40% - Accent3 2 3 2 3 2 2" xfId="8517"/>
    <cellStyle name="40% - Accent3 2 3 2 3 2 2 2" xfId="8518"/>
    <cellStyle name="40% - Accent3 2 3 2 3 2 2 2 2" xfId="8519"/>
    <cellStyle name="40% - Accent3 2 3 2 3 2 2 2 3" xfId="23701"/>
    <cellStyle name="40% - Accent3 2 3 2 3 2 2 3" xfId="8520"/>
    <cellStyle name="40% - Accent3 2 3 2 3 2 2 4" xfId="21118"/>
    <cellStyle name="40% - Accent3 2 3 2 3 2 3" xfId="8521"/>
    <cellStyle name="40% - Accent3 2 3 2 3 2 3 2" xfId="8522"/>
    <cellStyle name="40% - Accent3 2 3 2 3 2 3 3" xfId="22411"/>
    <cellStyle name="40% - Accent3 2 3 2 3 2 4" xfId="8523"/>
    <cellStyle name="40% - Accent3 2 3 2 3 2 5" xfId="19824"/>
    <cellStyle name="40% - Accent3 2 3 2 3 3" xfId="8524"/>
    <cellStyle name="40% - Accent3 2 3 2 3 3 2" xfId="8525"/>
    <cellStyle name="40% - Accent3 2 3 2 3 3 2 2" xfId="8526"/>
    <cellStyle name="40% - Accent3 2 3 2 3 3 2 3" xfId="23056"/>
    <cellStyle name="40% - Accent3 2 3 2 3 3 3" xfId="8527"/>
    <cellStyle name="40% - Accent3 2 3 2 3 3 4" xfId="20473"/>
    <cellStyle name="40% - Accent3 2 3 2 3 4" xfId="8528"/>
    <cellStyle name="40% - Accent3 2 3 2 3 4 2" xfId="8529"/>
    <cellStyle name="40% - Accent3 2 3 2 3 4 3" xfId="21766"/>
    <cellStyle name="40% - Accent3 2 3 2 3 5" xfId="8530"/>
    <cellStyle name="40% - Accent3 2 3 2 3 6" xfId="19176"/>
    <cellStyle name="40% - Accent3 2 3 2 4" xfId="8531"/>
    <cellStyle name="40% - Accent3 2 3 2 4 2" xfId="8532"/>
    <cellStyle name="40% - Accent3 2 3 2 4 2 2" xfId="8533"/>
    <cellStyle name="40% - Accent3 2 3 2 4 2 2 2" xfId="8534"/>
    <cellStyle name="40% - Accent3 2 3 2 4 2 2 3" xfId="23379"/>
    <cellStyle name="40% - Accent3 2 3 2 4 2 3" xfId="8535"/>
    <cellStyle name="40% - Accent3 2 3 2 4 2 4" xfId="20796"/>
    <cellStyle name="40% - Accent3 2 3 2 4 3" xfId="8536"/>
    <cellStyle name="40% - Accent3 2 3 2 4 3 2" xfId="8537"/>
    <cellStyle name="40% - Accent3 2 3 2 4 3 3" xfId="22089"/>
    <cellStyle name="40% - Accent3 2 3 2 4 4" xfId="8538"/>
    <cellStyle name="40% - Accent3 2 3 2 4 5" xfId="19502"/>
    <cellStyle name="40% - Accent3 2 3 2 5" xfId="8539"/>
    <cellStyle name="40% - Accent3 2 3 2 5 2" xfId="8540"/>
    <cellStyle name="40% - Accent3 2 3 2 5 2 2" xfId="8541"/>
    <cellStyle name="40% - Accent3 2 3 2 5 2 3" xfId="22734"/>
    <cellStyle name="40% - Accent3 2 3 2 5 3" xfId="8542"/>
    <cellStyle name="40% - Accent3 2 3 2 5 4" xfId="20151"/>
    <cellStyle name="40% - Accent3 2 3 2 6" xfId="8543"/>
    <cellStyle name="40% - Accent3 2 3 2 6 2" xfId="8544"/>
    <cellStyle name="40% - Accent3 2 3 2 6 3" xfId="21444"/>
    <cellStyle name="40% - Accent3 2 3 2 7" xfId="8545"/>
    <cellStyle name="40% - Accent3 2 3 2 8" xfId="18846"/>
    <cellStyle name="40% - Accent3 2 3 3" xfId="8546"/>
    <cellStyle name="40% - Accent3 2 3 3 2" xfId="8547"/>
    <cellStyle name="40% - Accent3 2 3 3 2 2" xfId="8548"/>
    <cellStyle name="40% - Accent3 2 3 3 2 2 2" xfId="8549"/>
    <cellStyle name="40% - Accent3 2 3 3 2 2 2 2" xfId="8550"/>
    <cellStyle name="40% - Accent3 2 3 3 2 2 2 2 2" xfId="8551"/>
    <cellStyle name="40% - Accent3 2 3 3 2 2 2 2 3" xfId="23782"/>
    <cellStyle name="40% - Accent3 2 3 3 2 2 2 3" xfId="8552"/>
    <cellStyle name="40% - Accent3 2 3 3 2 2 2 4" xfId="21199"/>
    <cellStyle name="40% - Accent3 2 3 3 2 2 3" xfId="8553"/>
    <cellStyle name="40% - Accent3 2 3 3 2 2 3 2" xfId="8554"/>
    <cellStyle name="40% - Accent3 2 3 3 2 2 3 3" xfId="22492"/>
    <cellStyle name="40% - Accent3 2 3 3 2 2 4" xfId="8555"/>
    <cellStyle name="40% - Accent3 2 3 3 2 2 5" xfId="19905"/>
    <cellStyle name="40% - Accent3 2 3 3 2 3" xfId="8556"/>
    <cellStyle name="40% - Accent3 2 3 3 2 3 2" xfId="8557"/>
    <cellStyle name="40% - Accent3 2 3 3 2 3 2 2" xfId="8558"/>
    <cellStyle name="40% - Accent3 2 3 3 2 3 2 3" xfId="23137"/>
    <cellStyle name="40% - Accent3 2 3 3 2 3 3" xfId="8559"/>
    <cellStyle name="40% - Accent3 2 3 3 2 3 4" xfId="20554"/>
    <cellStyle name="40% - Accent3 2 3 3 2 4" xfId="8560"/>
    <cellStyle name="40% - Accent3 2 3 3 2 4 2" xfId="8561"/>
    <cellStyle name="40% - Accent3 2 3 3 2 4 3" xfId="21847"/>
    <cellStyle name="40% - Accent3 2 3 3 2 5" xfId="8562"/>
    <cellStyle name="40% - Accent3 2 3 3 2 6" xfId="19257"/>
    <cellStyle name="40% - Accent3 2 3 3 3" xfId="8563"/>
    <cellStyle name="40% - Accent3 2 3 3 3 2" xfId="8564"/>
    <cellStyle name="40% - Accent3 2 3 3 3 2 2" xfId="8565"/>
    <cellStyle name="40% - Accent3 2 3 3 3 2 2 2" xfId="8566"/>
    <cellStyle name="40% - Accent3 2 3 3 3 2 2 3" xfId="23460"/>
    <cellStyle name="40% - Accent3 2 3 3 3 2 3" xfId="8567"/>
    <cellStyle name="40% - Accent3 2 3 3 3 2 4" xfId="20877"/>
    <cellStyle name="40% - Accent3 2 3 3 3 3" xfId="8568"/>
    <cellStyle name="40% - Accent3 2 3 3 3 3 2" xfId="8569"/>
    <cellStyle name="40% - Accent3 2 3 3 3 3 3" xfId="22170"/>
    <cellStyle name="40% - Accent3 2 3 3 3 4" xfId="8570"/>
    <cellStyle name="40% - Accent3 2 3 3 3 5" xfId="19583"/>
    <cellStyle name="40% - Accent3 2 3 3 4" xfId="8571"/>
    <cellStyle name="40% - Accent3 2 3 3 4 2" xfId="8572"/>
    <cellStyle name="40% - Accent3 2 3 3 4 2 2" xfId="8573"/>
    <cellStyle name="40% - Accent3 2 3 3 4 2 3" xfId="22815"/>
    <cellStyle name="40% - Accent3 2 3 3 4 3" xfId="8574"/>
    <cellStyle name="40% - Accent3 2 3 3 4 4" xfId="20232"/>
    <cellStyle name="40% - Accent3 2 3 3 5" xfId="8575"/>
    <cellStyle name="40% - Accent3 2 3 3 5 2" xfId="8576"/>
    <cellStyle name="40% - Accent3 2 3 3 5 3" xfId="21525"/>
    <cellStyle name="40% - Accent3 2 3 3 6" xfId="8577"/>
    <cellStyle name="40% - Accent3 2 3 3 7" xfId="18931"/>
    <cellStyle name="40% - Accent3 2 3 4" xfId="8578"/>
    <cellStyle name="40% - Accent3 2 3 4 2" xfId="8579"/>
    <cellStyle name="40% - Accent3 2 3 4 2 2" xfId="8580"/>
    <cellStyle name="40% - Accent3 2 3 4 2 2 2" xfId="8581"/>
    <cellStyle name="40% - Accent3 2 3 4 2 2 2 2" xfId="8582"/>
    <cellStyle name="40% - Accent3 2 3 4 2 2 2 3" xfId="23621"/>
    <cellStyle name="40% - Accent3 2 3 4 2 2 3" xfId="8583"/>
    <cellStyle name="40% - Accent3 2 3 4 2 2 4" xfId="21038"/>
    <cellStyle name="40% - Accent3 2 3 4 2 3" xfId="8584"/>
    <cellStyle name="40% - Accent3 2 3 4 2 3 2" xfId="8585"/>
    <cellStyle name="40% - Accent3 2 3 4 2 3 3" xfId="22331"/>
    <cellStyle name="40% - Accent3 2 3 4 2 4" xfId="8586"/>
    <cellStyle name="40% - Accent3 2 3 4 2 5" xfId="19744"/>
    <cellStyle name="40% - Accent3 2 3 4 3" xfId="8587"/>
    <cellStyle name="40% - Accent3 2 3 4 3 2" xfId="8588"/>
    <cellStyle name="40% - Accent3 2 3 4 3 2 2" xfId="8589"/>
    <cellStyle name="40% - Accent3 2 3 4 3 2 3" xfId="22976"/>
    <cellStyle name="40% - Accent3 2 3 4 3 3" xfId="8590"/>
    <cellStyle name="40% - Accent3 2 3 4 3 4" xfId="20393"/>
    <cellStyle name="40% - Accent3 2 3 4 4" xfId="8591"/>
    <cellStyle name="40% - Accent3 2 3 4 4 2" xfId="8592"/>
    <cellStyle name="40% - Accent3 2 3 4 4 3" xfId="21686"/>
    <cellStyle name="40% - Accent3 2 3 4 5" xfId="8593"/>
    <cellStyle name="40% - Accent3 2 3 4 6" xfId="19096"/>
    <cellStyle name="40% - Accent3 2 3 5" xfId="8594"/>
    <cellStyle name="40% - Accent3 2 3 5 2" xfId="8595"/>
    <cellStyle name="40% - Accent3 2 3 5 2 2" xfId="8596"/>
    <cellStyle name="40% - Accent3 2 3 5 2 2 2" xfId="8597"/>
    <cellStyle name="40% - Accent3 2 3 5 2 2 3" xfId="23298"/>
    <cellStyle name="40% - Accent3 2 3 5 2 3" xfId="8598"/>
    <cellStyle name="40% - Accent3 2 3 5 2 4" xfId="20715"/>
    <cellStyle name="40% - Accent3 2 3 5 3" xfId="8599"/>
    <cellStyle name="40% - Accent3 2 3 5 3 2" xfId="8600"/>
    <cellStyle name="40% - Accent3 2 3 5 3 3" xfId="22008"/>
    <cellStyle name="40% - Accent3 2 3 5 4" xfId="8601"/>
    <cellStyle name="40% - Accent3 2 3 5 5" xfId="19422"/>
    <cellStyle name="40% - Accent3 2 3 6" xfId="8602"/>
    <cellStyle name="40% - Accent3 2 3 6 2" xfId="8603"/>
    <cellStyle name="40% - Accent3 2 3 6 2 2" xfId="8604"/>
    <cellStyle name="40% - Accent3 2 3 6 2 3" xfId="22653"/>
    <cellStyle name="40% - Accent3 2 3 6 3" xfId="8605"/>
    <cellStyle name="40% - Accent3 2 3 6 4" xfId="20070"/>
    <cellStyle name="40% - Accent3 2 3 7" xfId="8606"/>
    <cellStyle name="40% - Accent3 2 3 7 2" xfId="8607"/>
    <cellStyle name="40% - Accent3 2 3 7 3" xfId="21363"/>
    <cellStyle name="40% - Accent3 2 3 8" xfId="8608"/>
    <cellStyle name="40% - Accent3 2 3 9" xfId="18749"/>
    <cellStyle name="40% - Accent3 2 4" xfId="8609"/>
    <cellStyle name="40% - Accent3 2 4 2" xfId="8610"/>
    <cellStyle name="40% - Accent3 2 4 2 2" xfId="8611"/>
    <cellStyle name="40% - Accent3 2 4 2 2 2" xfId="8612"/>
    <cellStyle name="40% - Accent3 2 4 2 2 2 2" xfId="8613"/>
    <cellStyle name="40% - Accent3 2 4 2 2 2 2 2" xfId="8614"/>
    <cellStyle name="40% - Accent3 2 4 2 2 2 2 2 2" xfId="8615"/>
    <cellStyle name="40% - Accent3 2 4 2 2 2 2 2 3" xfId="23822"/>
    <cellStyle name="40% - Accent3 2 4 2 2 2 2 3" xfId="8616"/>
    <cellStyle name="40% - Accent3 2 4 2 2 2 2 4" xfId="21239"/>
    <cellStyle name="40% - Accent3 2 4 2 2 2 3" xfId="8617"/>
    <cellStyle name="40% - Accent3 2 4 2 2 2 3 2" xfId="8618"/>
    <cellStyle name="40% - Accent3 2 4 2 2 2 3 3" xfId="22532"/>
    <cellStyle name="40% - Accent3 2 4 2 2 2 4" xfId="8619"/>
    <cellStyle name="40% - Accent3 2 4 2 2 2 5" xfId="19945"/>
    <cellStyle name="40% - Accent3 2 4 2 2 3" xfId="8620"/>
    <cellStyle name="40% - Accent3 2 4 2 2 3 2" xfId="8621"/>
    <cellStyle name="40% - Accent3 2 4 2 2 3 2 2" xfId="8622"/>
    <cellStyle name="40% - Accent3 2 4 2 2 3 2 3" xfId="23177"/>
    <cellStyle name="40% - Accent3 2 4 2 2 3 3" xfId="8623"/>
    <cellStyle name="40% - Accent3 2 4 2 2 3 4" xfId="20594"/>
    <cellStyle name="40% - Accent3 2 4 2 2 4" xfId="8624"/>
    <cellStyle name="40% - Accent3 2 4 2 2 4 2" xfId="8625"/>
    <cellStyle name="40% - Accent3 2 4 2 2 4 3" xfId="21887"/>
    <cellStyle name="40% - Accent3 2 4 2 2 5" xfId="8626"/>
    <cellStyle name="40% - Accent3 2 4 2 2 6" xfId="19297"/>
    <cellStyle name="40% - Accent3 2 4 2 3" xfId="8627"/>
    <cellStyle name="40% - Accent3 2 4 2 3 2" xfId="8628"/>
    <cellStyle name="40% - Accent3 2 4 2 3 2 2" xfId="8629"/>
    <cellStyle name="40% - Accent3 2 4 2 3 2 2 2" xfId="8630"/>
    <cellStyle name="40% - Accent3 2 4 2 3 2 2 3" xfId="23500"/>
    <cellStyle name="40% - Accent3 2 4 2 3 2 3" xfId="8631"/>
    <cellStyle name="40% - Accent3 2 4 2 3 2 4" xfId="20917"/>
    <cellStyle name="40% - Accent3 2 4 2 3 3" xfId="8632"/>
    <cellStyle name="40% - Accent3 2 4 2 3 3 2" xfId="8633"/>
    <cellStyle name="40% - Accent3 2 4 2 3 3 3" xfId="22210"/>
    <cellStyle name="40% - Accent3 2 4 2 3 4" xfId="8634"/>
    <cellStyle name="40% - Accent3 2 4 2 3 5" xfId="19623"/>
    <cellStyle name="40% - Accent3 2 4 2 4" xfId="8635"/>
    <cellStyle name="40% - Accent3 2 4 2 4 2" xfId="8636"/>
    <cellStyle name="40% - Accent3 2 4 2 4 2 2" xfId="8637"/>
    <cellStyle name="40% - Accent3 2 4 2 4 2 3" xfId="22855"/>
    <cellStyle name="40% - Accent3 2 4 2 4 3" xfId="8638"/>
    <cellStyle name="40% - Accent3 2 4 2 4 4" xfId="20272"/>
    <cellStyle name="40% - Accent3 2 4 2 5" xfId="8639"/>
    <cellStyle name="40% - Accent3 2 4 2 5 2" xfId="8640"/>
    <cellStyle name="40% - Accent3 2 4 2 5 3" xfId="21565"/>
    <cellStyle name="40% - Accent3 2 4 2 6" xfId="8641"/>
    <cellStyle name="40% - Accent3 2 4 2 7" xfId="18971"/>
    <cellStyle name="40% - Accent3 2 4 3" xfId="8642"/>
    <cellStyle name="40% - Accent3 2 4 3 2" xfId="8643"/>
    <cellStyle name="40% - Accent3 2 4 3 2 2" xfId="8644"/>
    <cellStyle name="40% - Accent3 2 4 3 2 2 2" xfId="8645"/>
    <cellStyle name="40% - Accent3 2 4 3 2 2 2 2" xfId="8646"/>
    <cellStyle name="40% - Accent3 2 4 3 2 2 2 3" xfId="23661"/>
    <cellStyle name="40% - Accent3 2 4 3 2 2 3" xfId="8647"/>
    <cellStyle name="40% - Accent3 2 4 3 2 2 4" xfId="21078"/>
    <cellStyle name="40% - Accent3 2 4 3 2 3" xfId="8648"/>
    <cellStyle name="40% - Accent3 2 4 3 2 3 2" xfId="8649"/>
    <cellStyle name="40% - Accent3 2 4 3 2 3 3" xfId="22371"/>
    <cellStyle name="40% - Accent3 2 4 3 2 4" xfId="8650"/>
    <cellStyle name="40% - Accent3 2 4 3 2 5" xfId="19784"/>
    <cellStyle name="40% - Accent3 2 4 3 3" xfId="8651"/>
    <cellStyle name="40% - Accent3 2 4 3 3 2" xfId="8652"/>
    <cellStyle name="40% - Accent3 2 4 3 3 2 2" xfId="8653"/>
    <cellStyle name="40% - Accent3 2 4 3 3 2 3" xfId="23016"/>
    <cellStyle name="40% - Accent3 2 4 3 3 3" xfId="8654"/>
    <cellStyle name="40% - Accent3 2 4 3 3 4" xfId="20433"/>
    <cellStyle name="40% - Accent3 2 4 3 4" xfId="8655"/>
    <cellStyle name="40% - Accent3 2 4 3 4 2" xfId="8656"/>
    <cellStyle name="40% - Accent3 2 4 3 4 3" xfId="21726"/>
    <cellStyle name="40% - Accent3 2 4 3 5" xfId="8657"/>
    <cellStyle name="40% - Accent3 2 4 3 6" xfId="19136"/>
    <cellStyle name="40% - Accent3 2 4 4" xfId="8658"/>
    <cellStyle name="40% - Accent3 2 4 4 2" xfId="8659"/>
    <cellStyle name="40% - Accent3 2 4 4 2 2" xfId="8660"/>
    <cellStyle name="40% - Accent3 2 4 4 2 2 2" xfId="8661"/>
    <cellStyle name="40% - Accent3 2 4 4 2 2 3" xfId="23339"/>
    <cellStyle name="40% - Accent3 2 4 4 2 3" xfId="8662"/>
    <cellStyle name="40% - Accent3 2 4 4 2 4" xfId="20756"/>
    <cellStyle name="40% - Accent3 2 4 4 3" xfId="8663"/>
    <cellStyle name="40% - Accent3 2 4 4 3 2" xfId="8664"/>
    <cellStyle name="40% - Accent3 2 4 4 3 3" xfId="22049"/>
    <cellStyle name="40% - Accent3 2 4 4 4" xfId="8665"/>
    <cellStyle name="40% - Accent3 2 4 4 5" xfId="19462"/>
    <cellStyle name="40% - Accent3 2 4 5" xfId="8666"/>
    <cellStyle name="40% - Accent3 2 4 5 2" xfId="8667"/>
    <cellStyle name="40% - Accent3 2 4 5 2 2" xfId="8668"/>
    <cellStyle name="40% - Accent3 2 4 5 2 3" xfId="22694"/>
    <cellStyle name="40% - Accent3 2 4 5 3" xfId="8669"/>
    <cellStyle name="40% - Accent3 2 4 5 4" xfId="20111"/>
    <cellStyle name="40% - Accent3 2 4 6" xfId="8670"/>
    <cellStyle name="40% - Accent3 2 4 6 2" xfId="8671"/>
    <cellStyle name="40% - Accent3 2 4 6 3" xfId="21404"/>
    <cellStyle name="40% - Accent3 2 4 7" xfId="8672"/>
    <cellStyle name="40% - Accent3 2 4 8" xfId="18803"/>
    <cellStyle name="40% - Accent3 2 5" xfId="8673"/>
    <cellStyle name="40% - Accent3 2 5 2" xfId="8674"/>
    <cellStyle name="40% - Accent3 2 5 2 2" xfId="8675"/>
    <cellStyle name="40% - Accent3 2 5 2 2 2" xfId="8676"/>
    <cellStyle name="40% - Accent3 2 5 2 2 2 2" xfId="8677"/>
    <cellStyle name="40% - Accent3 2 5 2 2 2 2 2" xfId="8678"/>
    <cellStyle name="40% - Accent3 2 5 2 2 2 2 3" xfId="23742"/>
    <cellStyle name="40% - Accent3 2 5 2 2 2 3" xfId="8679"/>
    <cellStyle name="40% - Accent3 2 5 2 2 2 4" xfId="21159"/>
    <cellStyle name="40% - Accent3 2 5 2 2 3" xfId="8680"/>
    <cellStyle name="40% - Accent3 2 5 2 2 3 2" xfId="8681"/>
    <cellStyle name="40% - Accent3 2 5 2 2 3 3" xfId="22452"/>
    <cellStyle name="40% - Accent3 2 5 2 2 4" xfId="8682"/>
    <cellStyle name="40% - Accent3 2 5 2 2 5" xfId="19865"/>
    <cellStyle name="40% - Accent3 2 5 2 3" xfId="8683"/>
    <cellStyle name="40% - Accent3 2 5 2 3 2" xfId="8684"/>
    <cellStyle name="40% - Accent3 2 5 2 3 2 2" xfId="8685"/>
    <cellStyle name="40% - Accent3 2 5 2 3 2 3" xfId="23097"/>
    <cellStyle name="40% - Accent3 2 5 2 3 3" xfId="8686"/>
    <cellStyle name="40% - Accent3 2 5 2 3 4" xfId="20514"/>
    <cellStyle name="40% - Accent3 2 5 2 4" xfId="8687"/>
    <cellStyle name="40% - Accent3 2 5 2 4 2" xfId="8688"/>
    <cellStyle name="40% - Accent3 2 5 2 4 3" xfId="21807"/>
    <cellStyle name="40% - Accent3 2 5 2 5" xfId="8689"/>
    <cellStyle name="40% - Accent3 2 5 2 6" xfId="19217"/>
    <cellStyle name="40% - Accent3 2 5 3" xfId="8690"/>
    <cellStyle name="40% - Accent3 2 5 3 2" xfId="8691"/>
    <cellStyle name="40% - Accent3 2 5 3 2 2" xfId="8692"/>
    <cellStyle name="40% - Accent3 2 5 3 2 2 2" xfId="8693"/>
    <cellStyle name="40% - Accent3 2 5 3 2 2 3" xfId="23420"/>
    <cellStyle name="40% - Accent3 2 5 3 2 3" xfId="8694"/>
    <cellStyle name="40% - Accent3 2 5 3 2 4" xfId="20837"/>
    <cellStyle name="40% - Accent3 2 5 3 3" xfId="8695"/>
    <cellStyle name="40% - Accent3 2 5 3 3 2" xfId="8696"/>
    <cellStyle name="40% - Accent3 2 5 3 3 3" xfId="22130"/>
    <cellStyle name="40% - Accent3 2 5 3 4" xfId="8697"/>
    <cellStyle name="40% - Accent3 2 5 3 5" xfId="19543"/>
    <cellStyle name="40% - Accent3 2 5 4" xfId="8698"/>
    <cellStyle name="40% - Accent3 2 5 4 2" xfId="8699"/>
    <cellStyle name="40% - Accent3 2 5 4 2 2" xfId="8700"/>
    <cellStyle name="40% - Accent3 2 5 4 2 3" xfId="22775"/>
    <cellStyle name="40% - Accent3 2 5 4 3" xfId="8701"/>
    <cellStyle name="40% - Accent3 2 5 4 4" xfId="20192"/>
    <cellStyle name="40% - Accent3 2 5 5" xfId="8702"/>
    <cellStyle name="40% - Accent3 2 5 5 2" xfId="8703"/>
    <cellStyle name="40% - Accent3 2 5 5 3" xfId="21485"/>
    <cellStyle name="40% - Accent3 2 5 6" xfId="8704"/>
    <cellStyle name="40% - Accent3 2 5 7" xfId="18891"/>
    <cellStyle name="40% - Accent3 2 6" xfId="8705"/>
    <cellStyle name="40% - Accent3 2 6 2" xfId="8706"/>
    <cellStyle name="40% - Accent3 2 6 2 2" xfId="8707"/>
    <cellStyle name="40% - Accent3 2 6 2 2 2" xfId="8708"/>
    <cellStyle name="40% - Accent3 2 6 2 2 2 2" xfId="8709"/>
    <cellStyle name="40% - Accent3 2 6 2 2 2 3" xfId="23581"/>
    <cellStyle name="40% - Accent3 2 6 2 2 3" xfId="8710"/>
    <cellStyle name="40% - Accent3 2 6 2 2 4" xfId="20998"/>
    <cellStyle name="40% - Accent3 2 6 2 3" xfId="8711"/>
    <cellStyle name="40% - Accent3 2 6 2 3 2" xfId="8712"/>
    <cellStyle name="40% - Accent3 2 6 2 3 3" xfId="22291"/>
    <cellStyle name="40% - Accent3 2 6 2 4" xfId="8713"/>
    <cellStyle name="40% - Accent3 2 6 2 5" xfId="19704"/>
    <cellStyle name="40% - Accent3 2 6 3" xfId="8714"/>
    <cellStyle name="40% - Accent3 2 6 3 2" xfId="8715"/>
    <cellStyle name="40% - Accent3 2 6 3 2 2" xfId="8716"/>
    <cellStyle name="40% - Accent3 2 6 3 2 3" xfId="22936"/>
    <cellStyle name="40% - Accent3 2 6 3 3" xfId="8717"/>
    <cellStyle name="40% - Accent3 2 6 3 4" xfId="20353"/>
    <cellStyle name="40% - Accent3 2 6 4" xfId="8718"/>
    <cellStyle name="40% - Accent3 2 6 4 2" xfId="8719"/>
    <cellStyle name="40% - Accent3 2 6 4 3" xfId="21646"/>
    <cellStyle name="40% - Accent3 2 6 5" xfId="8720"/>
    <cellStyle name="40% - Accent3 2 6 6" xfId="19056"/>
    <cellStyle name="40% - Accent3 2 7" xfId="8721"/>
    <cellStyle name="40% - Accent3 2 7 2" xfId="8722"/>
    <cellStyle name="40% - Accent3 2 7 2 2" xfId="8723"/>
    <cellStyle name="40% - Accent3 2 7 2 2 2" xfId="8724"/>
    <cellStyle name="40% - Accent3 2 7 2 2 3" xfId="23258"/>
    <cellStyle name="40% - Accent3 2 7 2 3" xfId="8725"/>
    <cellStyle name="40% - Accent3 2 7 2 4" xfId="20675"/>
    <cellStyle name="40% - Accent3 2 7 3" xfId="8726"/>
    <cellStyle name="40% - Accent3 2 7 3 2" xfId="8727"/>
    <cellStyle name="40% - Accent3 2 7 3 3" xfId="21968"/>
    <cellStyle name="40% - Accent3 2 7 4" xfId="8728"/>
    <cellStyle name="40% - Accent3 2 7 5" xfId="19382"/>
    <cellStyle name="40% - Accent3 2 8" xfId="8729"/>
    <cellStyle name="40% - Accent3 2 8 2" xfId="8730"/>
    <cellStyle name="40% - Accent3 2 8 2 2" xfId="8731"/>
    <cellStyle name="40% - Accent3 2 8 2 3" xfId="22613"/>
    <cellStyle name="40% - Accent3 2 8 3" xfId="8732"/>
    <cellStyle name="40% - Accent3 2 8 4" xfId="20030"/>
    <cellStyle name="40% - Accent3 2 9" xfId="8733"/>
    <cellStyle name="40% - Accent3 2 9 2" xfId="8734"/>
    <cellStyle name="40% - Accent3 2 9 3" xfId="21323"/>
    <cellStyle name="40% - Accent3 3" xfId="8735"/>
    <cellStyle name="40% - Accent3 3 10" xfId="18711"/>
    <cellStyle name="40% - Accent3 3 2" xfId="8736"/>
    <cellStyle name="40% - Accent3 3 2 2" xfId="8737"/>
    <cellStyle name="40% - Accent3 3 2 2 2" xfId="8738"/>
    <cellStyle name="40% - Accent3 3 2 2 2 2" xfId="8739"/>
    <cellStyle name="40% - Accent3 3 2 2 2 2 2" xfId="8740"/>
    <cellStyle name="40% - Accent3 3 2 2 2 2 2 2" xfId="8741"/>
    <cellStyle name="40% - Accent3 3 2 2 2 2 2 2 2" xfId="8742"/>
    <cellStyle name="40% - Accent3 3 2 2 2 2 2 2 2 2" xfId="8743"/>
    <cellStyle name="40% - Accent3 3 2 2 2 2 2 2 2 3" xfId="23872"/>
    <cellStyle name="40% - Accent3 3 2 2 2 2 2 2 3" xfId="8744"/>
    <cellStyle name="40% - Accent3 3 2 2 2 2 2 2 4" xfId="21289"/>
    <cellStyle name="40% - Accent3 3 2 2 2 2 2 3" xfId="8745"/>
    <cellStyle name="40% - Accent3 3 2 2 2 2 2 3 2" xfId="8746"/>
    <cellStyle name="40% - Accent3 3 2 2 2 2 2 3 3" xfId="22582"/>
    <cellStyle name="40% - Accent3 3 2 2 2 2 2 4" xfId="8747"/>
    <cellStyle name="40% - Accent3 3 2 2 2 2 2 5" xfId="19995"/>
    <cellStyle name="40% - Accent3 3 2 2 2 2 3" xfId="8748"/>
    <cellStyle name="40% - Accent3 3 2 2 2 2 3 2" xfId="8749"/>
    <cellStyle name="40% - Accent3 3 2 2 2 2 3 2 2" xfId="8750"/>
    <cellStyle name="40% - Accent3 3 2 2 2 2 3 2 3" xfId="23227"/>
    <cellStyle name="40% - Accent3 3 2 2 2 2 3 3" xfId="8751"/>
    <cellStyle name="40% - Accent3 3 2 2 2 2 3 4" xfId="20644"/>
    <cellStyle name="40% - Accent3 3 2 2 2 2 4" xfId="8752"/>
    <cellStyle name="40% - Accent3 3 2 2 2 2 4 2" xfId="8753"/>
    <cellStyle name="40% - Accent3 3 2 2 2 2 4 3" xfId="21937"/>
    <cellStyle name="40% - Accent3 3 2 2 2 2 5" xfId="8754"/>
    <cellStyle name="40% - Accent3 3 2 2 2 2 6" xfId="19347"/>
    <cellStyle name="40% - Accent3 3 2 2 2 3" xfId="8755"/>
    <cellStyle name="40% - Accent3 3 2 2 2 3 2" xfId="8756"/>
    <cellStyle name="40% - Accent3 3 2 2 2 3 2 2" xfId="8757"/>
    <cellStyle name="40% - Accent3 3 2 2 2 3 2 2 2" xfId="8758"/>
    <cellStyle name="40% - Accent3 3 2 2 2 3 2 2 3" xfId="23550"/>
    <cellStyle name="40% - Accent3 3 2 2 2 3 2 3" xfId="8759"/>
    <cellStyle name="40% - Accent3 3 2 2 2 3 2 4" xfId="20967"/>
    <cellStyle name="40% - Accent3 3 2 2 2 3 3" xfId="8760"/>
    <cellStyle name="40% - Accent3 3 2 2 2 3 3 2" xfId="8761"/>
    <cellStyle name="40% - Accent3 3 2 2 2 3 3 3" xfId="22260"/>
    <cellStyle name="40% - Accent3 3 2 2 2 3 4" xfId="8762"/>
    <cellStyle name="40% - Accent3 3 2 2 2 3 5" xfId="19673"/>
    <cellStyle name="40% - Accent3 3 2 2 2 4" xfId="8763"/>
    <cellStyle name="40% - Accent3 3 2 2 2 4 2" xfId="8764"/>
    <cellStyle name="40% - Accent3 3 2 2 2 4 2 2" xfId="8765"/>
    <cellStyle name="40% - Accent3 3 2 2 2 4 2 3" xfId="22905"/>
    <cellStyle name="40% - Accent3 3 2 2 2 4 3" xfId="8766"/>
    <cellStyle name="40% - Accent3 3 2 2 2 4 4" xfId="20322"/>
    <cellStyle name="40% - Accent3 3 2 2 2 5" xfId="8767"/>
    <cellStyle name="40% - Accent3 3 2 2 2 5 2" xfId="8768"/>
    <cellStyle name="40% - Accent3 3 2 2 2 5 3" xfId="21615"/>
    <cellStyle name="40% - Accent3 3 2 2 2 6" xfId="8769"/>
    <cellStyle name="40% - Accent3 3 2 2 2 7" xfId="19021"/>
    <cellStyle name="40% - Accent3 3 2 2 3" xfId="8770"/>
    <cellStyle name="40% - Accent3 3 2 2 3 2" xfId="8771"/>
    <cellStyle name="40% - Accent3 3 2 2 3 2 2" xfId="8772"/>
    <cellStyle name="40% - Accent3 3 2 2 3 2 2 2" xfId="8773"/>
    <cellStyle name="40% - Accent3 3 2 2 3 2 2 2 2" xfId="8774"/>
    <cellStyle name="40% - Accent3 3 2 2 3 2 2 2 3" xfId="23711"/>
    <cellStyle name="40% - Accent3 3 2 2 3 2 2 3" xfId="8775"/>
    <cellStyle name="40% - Accent3 3 2 2 3 2 2 4" xfId="21128"/>
    <cellStyle name="40% - Accent3 3 2 2 3 2 3" xfId="8776"/>
    <cellStyle name="40% - Accent3 3 2 2 3 2 3 2" xfId="8777"/>
    <cellStyle name="40% - Accent3 3 2 2 3 2 3 3" xfId="22421"/>
    <cellStyle name="40% - Accent3 3 2 2 3 2 4" xfId="8778"/>
    <cellStyle name="40% - Accent3 3 2 2 3 2 5" xfId="19834"/>
    <cellStyle name="40% - Accent3 3 2 2 3 3" xfId="8779"/>
    <cellStyle name="40% - Accent3 3 2 2 3 3 2" xfId="8780"/>
    <cellStyle name="40% - Accent3 3 2 2 3 3 2 2" xfId="8781"/>
    <cellStyle name="40% - Accent3 3 2 2 3 3 2 3" xfId="23066"/>
    <cellStyle name="40% - Accent3 3 2 2 3 3 3" xfId="8782"/>
    <cellStyle name="40% - Accent3 3 2 2 3 3 4" xfId="20483"/>
    <cellStyle name="40% - Accent3 3 2 2 3 4" xfId="8783"/>
    <cellStyle name="40% - Accent3 3 2 2 3 4 2" xfId="8784"/>
    <cellStyle name="40% - Accent3 3 2 2 3 4 3" xfId="21776"/>
    <cellStyle name="40% - Accent3 3 2 2 3 5" xfId="8785"/>
    <cellStyle name="40% - Accent3 3 2 2 3 6" xfId="19186"/>
    <cellStyle name="40% - Accent3 3 2 2 4" xfId="8786"/>
    <cellStyle name="40% - Accent3 3 2 2 4 2" xfId="8787"/>
    <cellStyle name="40% - Accent3 3 2 2 4 2 2" xfId="8788"/>
    <cellStyle name="40% - Accent3 3 2 2 4 2 2 2" xfId="8789"/>
    <cellStyle name="40% - Accent3 3 2 2 4 2 2 3" xfId="23389"/>
    <cellStyle name="40% - Accent3 3 2 2 4 2 3" xfId="8790"/>
    <cellStyle name="40% - Accent3 3 2 2 4 2 4" xfId="20806"/>
    <cellStyle name="40% - Accent3 3 2 2 4 3" xfId="8791"/>
    <cellStyle name="40% - Accent3 3 2 2 4 3 2" xfId="8792"/>
    <cellStyle name="40% - Accent3 3 2 2 4 3 3" xfId="22099"/>
    <cellStyle name="40% - Accent3 3 2 2 4 4" xfId="8793"/>
    <cellStyle name="40% - Accent3 3 2 2 4 5" xfId="19512"/>
    <cellStyle name="40% - Accent3 3 2 2 5" xfId="8794"/>
    <cellStyle name="40% - Accent3 3 2 2 5 2" xfId="8795"/>
    <cellStyle name="40% - Accent3 3 2 2 5 2 2" xfId="8796"/>
    <cellStyle name="40% - Accent3 3 2 2 5 2 3" xfId="22744"/>
    <cellStyle name="40% - Accent3 3 2 2 5 3" xfId="8797"/>
    <cellStyle name="40% - Accent3 3 2 2 5 4" xfId="20161"/>
    <cellStyle name="40% - Accent3 3 2 2 6" xfId="8798"/>
    <cellStyle name="40% - Accent3 3 2 2 6 2" xfId="8799"/>
    <cellStyle name="40% - Accent3 3 2 2 6 3" xfId="21454"/>
    <cellStyle name="40% - Accent3 3 2 2 7" xfId="8800"/>
    <cellStyle name="40% - Accent3 3 2 2 8" xfId="18856"/>
    <cellStyle name="40% - Accent3 3 2 3" xfId="8801"/>
    <cellStyle name="40% - Accent3 3 2 3 2" xfId="8802"/>
    <cellStyle name="40% - Accent3 3 2 3 2 2" xfId="8803"/>
    <cellStyle name="40% - Accent3 3 2 3 2 2 2" xfId="8804"/>
    <cellStyle name="40% - Accent3 3 2 3 2 2 2 2" xfId="8805"/>
    <cellStyle name="40% - Accent3 3 2 3 2 2 2 2 2" xfId="8806"/>
    <cellStyle name="40% - Accent3 3 2 3 2 2 2 2 3" xfId="23792"/>
    <cellStyle name="40% - Accent3 3 2 3 2 2 2 3" xfId="8807"/>
    <cellStyle name="40% - Accent3 3 2 3 2 2 2 4" xfId="21209"/>
    <cellStyle name="40% - Accent3 3 2 3 2 2 3" xfId="8808"/>
    <cellStyle name="40% - Accent3 3 2 3 2 2 3 2" xfId="8809"/>
    <cellStyle name="40% - Accent3 3 2 3 2 2 3 3" xfId="22502"/>
    <cellStyle name="40% - Accent3 3 2 3 2 2 4" xfId="8810"/>
    <cellStyle name="40% - Accent3 3 2 3 2 2 5" xfId="19915"/>
    <cellStyle name="40% - Accent3 3 2 3 2 3" xfId="8811"/>
    <cellStyle name="40% - Accent3 3 2 3 2 3 2" xfId="8812"/>
    <cellStyle name="40% - Accent3 3 2 3 2 3 2 2" xfId="8813"/>
    <cellStyle name="40% - Accent3 3 2 3 2 3 2 3" xfId="23147"/>
    <cellStyle name="40% - Accent3 3 2 3 2 3 3" xfId="8814"/>
    <cellStyle name="40% - Accent3 3 2 3 2 3 4" xfId="20564"/>
    <cellStyle name="40% - Accent3 3 2 3 2 4" xfId="8815"/>
    <cellStyle name="40% - Accent3 3 2 3 2 4 2" xfId="8816"/>
    <cellStyle name="40% - Accent3 3 2 3 2 4 3" xfId="21857"/>
    <cellStyle name="40% - Accent3 3 2 3 2 5" xfId="8817"/>
    <cellStyle name="40% - Accent3 3 2 3 2 6" xfId="19267"/>
    <cellStyle name="40% - Accent3 3 2 3 3" xfId="8818"/>
    <cellStyle name="40% - Accent3 3 2 3 3 2" xfId="8819"/>
    <cellStyle name="40% - Accent3 3 2 3 3 2 2" xfId="8820"/>
    <cellStyle name="40% - Accent3 3 2 3 3 2 2 2" xfId="8821"/>
    <cellStyle name="40% - Accent3 3 2 3 3 2 2 3" xfId="23470"/>
    <cellStyle name="40% - Accent3 3 2 3 3 2 3" xfId="8822"/>
    <cellStyle name="40% - Accent3 3 2 3 3 2 4" xfId="20887"/>
    <cellStyle name="40% - Accent3 3 2 3 3 3" xfId="8823"/>
    <cellStyle name="40% - Accent3 3 2 3 3 3 2" xfId="8824"/>
    <cellStyle name="40% - Accent3 3 2 3 3 3 3" xfId="22180"/>
    <cellStyle name="40% - Accent3 3 2 3 3 4" xfId="8825"/>
    <cellStyle name="40% - Accent3 3 2 3 3 5" xfId="19593"/>
    <cellStyle name="40% - Accent3 3 2 3 4" xfId="8826"/>
    <cellStyle name="40% - Accent3 3 2 3 4 2" xfId="8827"/>
    <cellStyle name="40% - Accent3 3 2 3 4 2 2" xfId="8828"/>
    <cellStyle name="40% - Accent3 3 2 3 4 2 3" xfId="22825"/>
    <cellStyle name="40% - Accent3 3 2 3 4 3" xfId="8829"/>
    <cellStyle name="40% - Accent3 3 2 3 4 4" xfId="20242"/>
    <cellStyle name="40% - Accent3 3 2 3 5" xfId="8830"/>
    <cellStyle name="40% - Accent3 3 2 3 5 2" xfId="8831"/>
    <cellStyle name="40% - Accent3 3 2 3 5 3" xfId="21535"/>
    <cellStyle name="40% - Accent3 3 2 3 6" xfId="8832"/>
    <cellStyle name="40% - Accent3 3 2 3 7" xfId="18941"/>
    <cellStyle name="40% - Accent3 3 2 4" xfId="8833"/>
    <cellStyle name="40% - Accent3 3 2 4 2" xfId="8834"/>
    <cellStyle name="40% - Accent3 3 2 4 2 2" xfId="8835"/>
    <cellStyle name="40% - Accent3 3 2 4 2 2 2" xfId="8836"/>
    <cellStyle name="40% - Accent3 3 2 4 2 2 2 2" xfId="8837"/>
    <cellStyle name="40% - Accent3 3 2 4 2 2 2 3" xfId="23631"/>
    <cellStyle name="40% - Accent3 3 2 4 2 2 3" xfId="8838"/>
    <cellStyle name="40% - Accent3 3 2 4 2 2 4" xfId="21048"/>
    <cellStyle name="40% - Accent3 3 2 4 2 3" xfId="8839"/>
    <cellStyle name="40% - Accent3 3 2 4 2 3 2" xfId="8840"/>
    <cellStyle name="40% - Accent3 3 2 4 2 3 3" xfId="22341"/>
    <cellStyle name="40% - Accent3 3 2 4 2 4" xfId="8841"/>
    <cellStyle name="40% - Accent3 3 2 4 2 5" xfId="19754"/>
    <cellStyle name="40% - Accent3 3 2 4 3" xfId="8842"/>
    <cellStyle name="40% - Accent3 3 2 4 3 2" xfId="8843"/>
    <cellStyle name="40% - Accent3 3 2 4 3 2 2" xfId="8844"/>
    <cellStyle name="40% - Accent3 3 2 4 3 2 3" xfId="22986"/>
    <cellStyle name="40% - Accent3 3 2 4 3 3" xfId="8845"/>
    <cellStyle name="40% - Accent3 3 2 4 3 4" xfId="20403"/>
    <cellStyle name="40% - Accent3 3 2 4 4" xfId="8846"/>
    <cellStyle name="40% - Accent3 3 2 4 4 2" xfId="8847"/>
    <cellStyle name="40% - Accent3 3 2 4 4 3" xfId="21696"/>
    <cellStyle name="40% - Accent3 3 2 4 5" xfId="8848"/>
    <cellStyle name="40% - Accent3 3 2 4 6" xfId="19106"/>
    <cellStyle name="40% - Accent3 3 2 5" xfId="8849"/>
    <cellStyle name="40% - Accent3 3 2 5 2" xfId="8850"/>
    <cellStyle name="40% - Accent3 3 2 5 2 2" xfId="8851"/>
    <cellStyle name="40% - Accent3 3 2 5 2 2 2" xfId="8852"/>
    <cellStyle name="40% - Accent3 3 2 5 2 2 3" xfId="23308"/>
    <cellStyle name="40% - Accent3 3 2 5 2 3" xfId="8853"/>
    <cellStyle name="40% - Accent3 3 2 5 2 4" xfId="20725"/>
    <cellStyle name="40% - Accent3 3 2 5 3" xfId="8854"/>
    <cellStyle name="40% - Accent3 3 2 5 3 2" xfId="8855"/>
    <cellStyle name="40% - Accent3 3 2 5 3 3" xfId="22018"/>
    <cellStyle name="40% - Accent3 3 2 5 4" xfId="8856"/>
    <cellStyle name="40% - Accent3 3 2 5 5" xfId="19432"/>
    <cellStyle name="40% - Accent3 3 2 6" xfId="8857"/>
    <cellStyle name="40% - Accent3 3 2 6 2" xfId="8858"/>
    <cellStyle name="40% - Accent3 3 2 6 2 2" xfId="8859"/>
    <cellStyle name="40% - Accent3 3 2 6 2 3" xfId="22663"/>
    <cellStyle name="40% - Accent3 3 2 6 3" xfId="8860"/>
    <cellStyle name="40% - Accent3 3 2 6 4" xfId="20080"/>
    <cellStyle name="40% - Accent3 3 2 7" xfId="8861"/>
    <cellStyle name="40% - Accent3 3 2 7 2" xfId="8862"/>
    <cellStyle name="40% - Accent3 3 2 7 3" xfId="21373"/>
    <cellStyle name="40% - Accent3 3 2 8" xfId="8863"/>
    <cellStyle name="40% - Accent3 3 2 9" xfId="18759"/>
    <cellStyle name="40% - Accent3 3 3" xfId="8864"/>
    <cellStyle name="40% - Accent3 3 3 2" xfId="8865"/>
    <cellStyle name="40% - Accent3 3 3 2 2" xfId="8866"/>
    <cellStyle name="40% - Accent3 3 3 2 2 2" xfId="8867"/>
    <cellStyle name="40% - Accent3 3 3 2 2 2 2" xfId="8868"/>
    <cellStyle name="40% - Accent3 3 3 2 2 2 2 2" xfId="8869"/>
    <cellStyle name="40% - Accent3 3 3 2 2 2 2 2 2" xfId="8870"/>
    <cellStyle name="40% - Accent3 3 3 2 2 2 2 2 3" xfId="23832"/>
    <cellStyle name="40% - Accent3 3 3 2 2 2 2 3" xfId="8871"/>
    <cellStyle name="40% - Accent3 3 3 2 2 2 2 4" xfId="21249"/>
    <cellStyle name="40% - Accent3 3 3 2 2 2 3" xfId="8872"/>
    <cellStyle name="40% - Accent3 3 3 2 2 2 3 2" xfId="8873"/>
    <cellStyle name="40% - Accent3 3 3 2 2 2 3 3" xfId="22542"/>
    <cellStyle name="40% - Accent3 3 3 2 2 2 4" xfId="8874"/>
    <cellStyle name="40% - Accent3 3 3 2 2 2 5" xfId="19955"/>
    <cellStyle name="40% - Accent3 3 3 2 2 3" xfId="8875"/>
    <cellStyle name="40% - Accent3 3 3 2 2 3 2" xfId="8876"/>
    <cellStyle name="40% - Accent3 3 3 2 2 3 2 2" xfId="8877"/>
    <cellStyle name="40% - Accent3 3 3 2 2 3 2 3" xfId="23187"/>
    <cellStyle name="40% - Accent3 3 3 2 2 3 3" xfId="8878"/>
    <cellStyle name="40% - Accent3 3 3 2 2 3 4" xfId="20604"/>
    <cellStyle name="40% - Accent3 3 3 2 2 4" xfId="8879"/>
    <cellStyle name="40% - Accent3 3 3 2 2 4 2" xfId="8880"/>
    <cellStyle name="40% - Accent3 3 3 2 2 4 3" xfId="21897"/>
    <cellStyle name="40% - Accent3 3 3 2 2 5" xfId="8881"/>
    <cellStyle name="40% - Accent3 3 3 2 2 6" xfId="19307"/>
    <cellStyle name="40% - Accent3 3 3 2 3" xfId="8882"/>
    <cellStyle name="40% - Accent3 3 3 2 3 2" xfId="8883"/>
    <cellStyle name="40% - Accent3 3 3 2 3 2 2" xfId="8884"/>
    <cellStyle name="40% - Accent3 3 3 2 3 2 2 2" xfId="8885"/>
    <cellStyle name="40% - Accent3 3 3 2 3 2 2 3" xfId="23510"/>
    <cellStyle name="40% - Accent3 3 3 2 3 2 3" xfId="8886"/>
    <cellStyle name="40% - Accent3 3 3 2 3 2 4" xfId="20927"/>
    <cellStyle name="40% - Accent3 3 3 2 3 3" xfId="8887"/>
    <cellStyle name="40% - Accent3 3 3 2 3 3 2" xfId="8888"/>
    <cellStyle name="40% - Accent3 3 3 2 3 3 3" xfId="22220"/>
    <cellStyle name="40% - Accent3 3 3 2 3 4" xfId="8889"/>
    <cellStyle name="40% - Accent3 3 3 2 3 5" xfId="19633"/>
    <cellStyle name="40% - Accent3 3 3 2 4" xfId="8890"/>
    <cellStyle name="40% - Accent3 3 3 2 4 2" xfId="8891"/>
    <cellStyle name="40% - Accent3 3 3 2 4 2 2" xfId="8892"/>
    <cellStyle name="40% - Accent3 3 3 2 4 2 3" xfId="22865"/>
    <cellStyle name="40% - Accent3 3 3 2 4 3" xfId="8893"/>
    <cellStyle name="40% - Accent3 3 3 2 4 4" xfId="20282"/>
    <cellStyle name="40% - Accent3 3 3 2 5" xfId="8894"/>
    <cellStyle name="40% - Accent3 3 3 2 5 2" xfId="8895"/>
    <cellStyle name="40% - Accent3 3 3 2 5 3" xfId="21575"/>
    <cellStyle name="40% - Accent3 3 3 2 6" xfId="8896"/>
    <cellStyle name="40% - Accent3 3 3 2 7" xfId="18981"/>
    <cellStyle name="40% - Accent3 3 3 3" xfId="8897"/>
    <cellStyle name="40% - Accent3 3 3 3 2" xfId="8898"/>
    <cellStyle name="40% - Accent3 3 3 3 2 2" xfId="8899"/>
    <cellStyle name="40% - Accent3 3 3 3 2 2 2" xfId="8900"/>
    <cellStyle name="40% - Accent3 3 3 3 2 2 2 2" xfId="8901"/>
    <cellStyle name="40% - Accent3 3 3 3 2 2 2 3" xfId="23671"/>
    <cellStyle name="40% - Accent3 3 3 3 2 2 3" xfId="8902"/>
    <cellStyle name="40% - Accent3 3 3 3 2 2 4" xfId="21088"/>
    <cellStyle name="40% - Accent3 3 3 3 2 3" xfId="8903"/>
    <cellStyle name="40% - Accent3 3 3 3 2 3 2" xfId="8904"/>
    <cellStyle name="40% - Accent3 3 3 3 2 3 3" xfId="22381"/>
    <cellStyle name="40% - Accent3 3 3 3 2 4" xfId="8905"/>
    <cellStyle name="40% - Accent3 3 3 3 2 5" xfId="19794"/>
    <cellStyle name="40% - Accent3 3 3 3 3" xfId="8906"/>
    <cellStyle name="40% - Accent3 3 3 3 3 2" xfId="8907"/>
    <cellStyle name="40% - Accent3 3 3 3 3 2 2" xfId="8908"/>
    <cellStyle name="40% - Accent3 3 3 3 3 2 3" xfId="23026"/>
    <cellStyle name="40% - Accent3 3 3 3 3 3" xfId="8909"/>
    <cellStyle name="40% - Accent3 3 3 3 3 4" xfId="20443"/>
    <cellStyle name="40% - Accent3 3 3 3 4" xfId="8910"/>
    <cellStyle name="40% - Accent3 3 3 3 4 2" xfId="8911"/>
    <cellStyle name="40% - Accent3 3 3 3 4 3" xfId="21736"/>
    <cellStyle name="40% - Accent3 3 3 3 5" xfId="8912"/>
    <cellStyle name="40% - Accent3 3 3 3 6" xfId="19146"/>
    <cellStyle name="40% - Accent3 3 3 4" xfId="8913"/>
    <cellStyle name="40% - Accent3 3 3 4 2" xfId="8914"/>
    <cellStyle name="40% - Accent3 3 3 4 2 2" xfId="8915"/>
    <cellStyle name="40% - Accent3 3 3 4 2 2 2" xfId="8916"/>
    <cellStyle name="40% - Accent3 3 3 4 2 2 3" xfId="23349"/>
    <cellStyle name="40% - Accent3 3 3 4 2 3" xfId="8917"/>
    <cellStyle name="40% - Accent3 3 3 4 2 4" xfId="20766"/>
    <cellStyle name="40% - Accent3 3 3 4 3" xfId="8918"/>
    <cellStyle name="40% - Accent3 3 3 4 3 2" xfId="8919"/>
    <cellStyle name="40% - Accent3 3 3 4 3 3" xfId="22059"/>
    <cellStyle name="40% - Accent3 3 3 4 4" xfId="8920"/>
    <cellStyle name="40% - Accent3 3 3 4 5" xfId="19472"/>
    <cellStyle name="40% - Accent3 3 3 5" xfId="8921"/>
    <cellStyle name="40% - Accent3 3 3 5 2" xfId="8922"/>
    <cellStyle name="40% - Accent3 3 3 5 2 2" xfId="8923"/>
    <cellStyle name="40% - Accent3 3 3 5 2 3" xfId="22704"/>
    <cellStyle name="40% - Accent3 3 3 5 3" xfId="8924"/>
    <cellStyle name="40% - Accent3 3 3 5 4" xfId="20121"/>
    <cellStyle name="40% - Accent3 3 3 6" xfId="8925"/>
    <cellStyle name="40% - Accent3 3 3 6 2" xfId="8926"/>
    <cellStyle name="40% - Accent3 3 3 6 3" xfId="21414"/>
    <cellStyle name="40% - Accent3 3 3 7" xfId="8927"/>
    <cellStyle name="40% - Accent3 3 3 8" xfId="18814"/>
    <cellStyle name="40% - Accent3 3 4" xfId="8928"/>
    <cellStyle name="40% - Accent3 3 4 2" xfId="8929"/>
    <cellStyle name="40% - Accent3 3 4 2 2" xfId="8930"/>
    <cellStyle name="40% - Accent3 3 4 2 2 2" xfId="8931"/>
    <cellStyle name="40% - Accent3 3 4 2 2 2 2" xfId="8932"/>
    <cellStyle name="40% - Accent3 3 4 2 2 2 2 2" xfId="8933"/>
    <cellStyle name="40% - Accent3 3 4 2 2 2 2 3" xfId="23752"/>
    <cellStyle name="40% - Accent3 3 4 2 2 2 3" xfId="8934"/>
    <cellStyle name="40% - Accent3 3 4 2 2 2 4" xfId="21169"/>
    <cellStyle name="40% - Accent3 3 4 2 2 3" xfId="8935"/>
    <cellStyle name="40% - Accent3 3 4 2 2 3 2" xfId="8936"/>
    <cellStyle name="40% - Accent3 3 4 2 2 3 3" xfId="22462"/>
    <cellStyle name="40% - Accent3 3 4 2 2 4" xfId="8937"/>
    <cellStyle name="40% - Accent3 3 4 2 2 5" xfId="19875"/>
    <cellStyle name="40% - Accent3 3 4 2 3" xfId="8938"/>
    <cellStyle name="40% - Accent3 3 4 2 3 2" xfId="8939"/>
    <cellStyle name="40% - Accent3 3 4 2 3 2 2" xfId="8940"/>
    <cellStyle name="40% - Accent3 3 4 2 3 2 3" xfId="23107"/>
    <cellStyle name="40% - Accent3 3 4 2 3 3" xfId="8941"/>
    <cellStyle name="40% - Accent3 3 4 2 3 4" xfId="20524"/>
    <cellStyle name="40% - Accent3 3 4 2 4" xfId="8942"/>
    <cellStyle name="40% - Accent3 3 4 2 4 2" xfId="8943"/>
    <cellStyle name="40% - Accent3 3 4 2 4 3" xfId="21817"/>
    <cellStyle name="40% - Accent3 3 4 2 5" xfId="8944"/>
    <cellStyle name="40% - Accent3 3 4 2 6" xfId="19227"/>
    <cellStyle name="40% - Accent3 3 4 3" xfId="8945"/>
    <cellStyle name="40% - Accent3 3 4 3 2" xfId="8946"/>
    <cellStyle name="40% - Accent3 3 4 3 2 2" xfId="8947"/>
    <cellStyle name="40% - Accent3 3 4 3 2 2 2" xfId="8948"/>
    <cellStyle name="40% - Accent3 3 4 3 2 2 3" xfId="23430"/>
    <cellStyle name="40% - Accent3 3 4 3 2 3" xfId="8949"/>
    <cellStyle name="40% - Accent3 3 4 3 2 4" xfId="20847"/>
    <cellStyle name="40% - Accent3 3 4 3 3" xfId="8950"/>
    <cellStyle name="40% - Accent3 3 4 3 3 2" xfId="8951"/>
    <cellStyle name="40% - Accent3 3 4 3 3 3" xfId="22140"/>
    <cellStyle name="40% - Accent3 3 4 3 4" xfId="8952"/>
    <cellStyle name="40% - Accent3 3 4 3 5" xfId="19553"/>
    <cellStyle name="40% - Accent3 3 4 4" xfId="8953"/>
    <cellStyle name="40% - Accent3 3 4 4 2" xfId="8954"/>
    <cellStyle name="40% - Accent3 3 4 4 2 2" xfId="8955"/>
    <cellStyle name="40% - Accent3 3 4 4 2 3" xfId="22785"/>
    <cellStyle name="40% - Accent3 3 4 4 3" xfId="8956"/>
    <cellStyle name="40% - Accent3 3 4 4 4" xfId="20202"/>
    <cellStyle name="40% - Accent3 3 4 5" xfId="8957"/>
    <cellStyle name="40% - Accent3 3 4 5 2" xfId="8958"/>
    <cellStyle name="40% - Accent3 3 4 5 3" xfId="21495"/>
    <cellStyle name="40% - Accent3 3 4 6" xfId="8959"/>
    <cellStyle name="40% - Accent3 3 4 7" xfId="18901"/>
    <cellStyle name="40% - Accent3 3 5" xfId="8960"/>
    <cellStyle name="40% - Accent3 3 5 2" xfId="8961"/>
    <cellStyle name="40% - Accent3 3 5 2 2" xfId="8962"/>
    <cellStyle name="40% - Accent3 3 5 2 2 2" xfId="8963"/>
    <cellStyle name="40% - Accent3 3 5 2 2 2 2" xfId="8964"/>
    <cellStyle name="40% - Accent3 3 5 2 2 2 3" xfId="23591"/>
    <cellStyle name="40% - Accent3 3 5 2 2 3" xfId="8965"/>
    <cellStyle name="40% - Accent3 3 5 2 2 4" xfId="21008"/>
    <cellStyle name="40% - Accent3 3 5 2 3" xfId="8966"/>
    <cellStyle name="40% - Accent3 3 5 2 3 2" xfId="8967"/>
    <cellStyle name="40% - Accent3 3 5 2 3 3" xfId="22301"/>
    <cellStyle name="40% - Accent3 3 5 2 4" xfId="8968"/>
    <cellStyle name="40% - Accent3 3 5 2 5" xfId="19714"/>
    <cellStyle name="40% - Accent3 3 5 3" xfId="8969"/>
    <cellStyle name="40% - Accent3 3 5 3 2" xfId="8970"/>
    <cellStyle name="40% - Accent3 3 5 3 2 2" xfId="8971"/>
    <cellStyle name="40% - Accent3 3 5 3 2 3" xfId="22946"/>
    <cellStyle name="40% - Accent3 3 5 3 3" xfId="8972"/>
    <cellStyle name="40% - Accent3 3 5 3 4" xfId="20363"/>
    <cellStyle name="40% - Accent3 3 5 4" xfId="8973"/>
    <cellStyle name="40% - Accent3 3 5 4 2" xfId="8974"/>
    <cellStyle name="40% - Accent3 3 5 4 3" xfId="21656"/>
    <cellStyle name="40% - Accent3 3 5 5" xfId="8975"/>
    <cellStyle name="40% - Accent3 3 5 6" xfId="19066"/>
    <cellStyle name="40% - Accent3 3 6" xfId="8976"/>
    <cellStyle name="40% - Accent3 3 6 2" xfId="8977"/>
    <cellStyle name="40% - Accent3 3 6 2 2" xfId="8978"/>
    <cellStyle name="40% - Accent3 3 6 2 2 2" xfId="8979"/>
    <cellStyle name="40% - Accent3 3 6 2 2 3" xfId="23268"/>
    <cellStyle name="40% - Accent3 3 6 2 3" xfId="8980"/>
    <cellStyle name="40% - Accent3 3 6 2 4" xfId="20685"/>
    <cellStyle name="40% - Accent3 3 6 3" xfId="8981"/>
    <cellStyle name="40% - Accent3 3 6 3 2" xfId="8982"/>
    <cellStyle name="40% - Accent3 3 6 3 3" xfId="21978"/>
    <cellStyle name="40% - Accent3 3 6 4" xfId="8983"/>
    <cellStyle name="40% - Accent3 3 6 5" xfId="19392"/>
    <cellStyle name="40% - Accent3 3 7" xfId="8984"/>
    <cellStyle name="40% - Accent3 3 7 2" xfId="8985"/>
    <cellStyle name="40% - Accent3 3 7 2 2" xfId="8986"/>
    <cellStyle name="40% - Accent3 3 7 2 3" xfId="22623"/>
    <cellStyle name="40% - Accent3 3 7 3" xfId="8987"/>
    <cellStyle name="40% - Accent3 3 7 4" xfId="20040"/>
    <cellStyle name="40% - Accent3 3 8" xfId="8988"/>
    <cellStyle name="40% - Accent3 3 8 2" xfId="8989"/>
    <cellStyle name="40% - Accent3 3 8 3" xfId="21333"/>
    <cellStyle name="40% - Accent3 3 9" xfId="8990"/>
    <cellStyle name="40% - Accent3 4" xfId="8991"/>
    <cellStyle name="40% - Accent3 4 2" xfId="8992"/>
    <cellStyle name="40% - Accent3 4 2 2" xfId="8993"/>
    <cellStyle name="40% - Accent3 4 2 2 2" xfId="8994"/>
    <cellStyle name="40% - Accent3 4 2 2 2 2" xfId="8995"/>
    <cellStyle name="40% - Accent3 4 2 2 2 2 2" xfId="8996"/>
    <cellStyle name="40% - Accent3 4 2 2 2 2 2 2" xfId="8997"/>
    <cellStyle name="40% - Accent3 4 2 2 2 2 2 2 2" xfId="8998"/>
    <cellStyle name="40% - Accent3 4 2 2 2 2 2 2 3" xfId="23852"/>
    <cellStyle name="40% - Accent3 4 2 2 2 2 2 3" xfId="8999"/>
    <cellStyle name="40% - Accent3 4 2 2 2 2 2 4" xfId="21269"/>
    <cellStyle name="40% - Accent3 4 2 2 2 2 3" xfId="9000"/>
    <cellStyle name="40% - Accent3 4 2 2 2 2 3 2" xfId="9001"/>
    <cellStyle name="40% - Accent3 4 2 2 2 2 3 3" xfId="22562"/>
    <cellStyle name="40% - Accent3 4 2 2 2 2 4" xfId="9002"/>
    <cellStyle name="40% - Accent3 4 2 2 2 2 5" xfId="19975"/>
    <cellStyle name="40% - Accent3 4 2 2 2 3" xfId="9003"/>
    <cellStyle name="40% - Accent3 4 2 2 2 3 2" xfId="9004"/>
    <cellStyle name="40% - Accent3 4 2 2 2 3 2 2" xfId="9005"/>
    <cellStyle name="40% - Accent3 4 2 2 2 3 2 3" xfId="23207"/>
    <cellStyle name="40% - Accent3 4 2 2 2 3 3" xfId="9006"/>
    <cellStyle name="40% - Accent3 4 2 2 2 3 4" xfId="20624"/>
    <cellStyle name="40% - Accent3 4 2 2 2 4" xfId="9007"/>
    <cellStyle name="40% - Accent3 4 2 2 2 4 2" xfId="9008"/>
    <cellStyle name="40% - Accent3 4 2 2 2 4 3" xfId="21917"/>
    <cellStyle name="40% - Accent3 4 2 2 2 5" xfId="9009"/>
    <cellStyle name="40% - Accent3 4 2 2 2 6" xfId="19327"/>
    <cellStyle name="40% - Accent3 4 2 2 3" xfId="9010"/>
    <cellStyle name="40% - Accent3 4 2 2 3 2" xfId="9011"/>
    <cellStyle name="40% - Accent3 4 2 2 3 2 2" xfId="9012"/>
    <cellStyle name="40% - Accent3 4 2 2 3 2 2 2" xfId="9013"/>
    <cellStyle name="40% - Accent3 4 2 2 3 2 2 3" xfId="23530"/>
    <cellStyle name="40% - Accent3 4 2 2 3 2 3" xfId="9014"/>
    <cellStyle name="40% - Accent3 4 2 2 3 2 4" xfId="20947"/>
    <cellStyle name="40% - Accent3 4 2 2 3 3" xfId="9015"/>
    <cellStyle name="40% - Accent3 4 2 2 3 3 2" xfId="9016"/>
    <cellStyle name="40% - Accent3 4 2 2 3 3 3" xfId="22240"/>
    <cellStyle name="40% - Accent3 4 2 2 3 4" xfId="9017"/>
    <cellStyle name="40% - Accent3 4 2 2 3 5" xfId="19653"/>
    <cellStyle name="40% - Accent3 4 2 2 4" xfId="9018"/>
    <cellStyle name="40% - Accent3 4 2 2 4 2" xfId="9019"/>
    <cellStyle name="40% - Accent3 4 2 2 4 2 2" xfId="9020"/>
    <cellStyle name="40% - Accent3 4 2 2 4 2 3" xfId="22885"/>
    <cellStyle name="40% - Accent3 4 2 2 4 3" xfId="9021"/>
    <cellStyle name="40% - Accent3 4 2 2 4 4" xfId="20302"/>
    <cellStyle name="40% - Accent3 4 2 2 5" xfId="9022"/>
    <cellStyle name="40% - Accent3 4 2 2 5 2" xfId="9023"/>
    <cellStyle name="40% - Accent3 4 2 2 5 3" xfId="21595"/>
    <cellStyle name="40% - Accent3 4 2 2 6" xfId="9024"/>
    <cellStyle name="40% - Accent3 4 2 2 7" xfId="19001"/>
    <cellStyle name="40% - Accent3 4 2 3" xfId="9025"/>
    <cellStyle name="40% - Accent3 4 2 3 2" xfId="9026"/>
    <cellStyle name="40% - Accent3 4 2 3 2 2" xfId="9027"/>
    <cellStyle name="40% - Accent3 4 2 3 2 2 2" xfId="9028"/>
    <cellStyle name="40% - Accent3 4 2 3 2 2 2 2" xfId="9029"/>
    <cellStyle name="40% - Accent3 4 2 3 2 2 2 3" xfId="23691"/>
    <cellStyle name="40% - Accent3 4 2 3 2 2 3" xfId="9030"/>
    <cellStyle name="40% - Accent3 4 2 3 2 2 4" xfId="21108"/>
    <cellStyle name="40% - Accent3 4 2 3 2 3" xfId="9031"/>
    <cellStyle name="40% - Accent3 4 2 3 2 3 2" xfId="9032"/>
    <cellStyle name="40% - Accent3 4 2 3 2 3 3" xfId="22401"/>
    <cellStyle name="40% - Accent3 4 2 3 2 4" xfId="9033"/>
    <cellStyle name="40% - Accent3 4 2 3 2 5" xfId="19814"/>
    <cellStyle name="40% - Accent3 4 2 3 3" xfId="9034"/>
    <cellStyle name="40% - Accent3 4 2 3 3 2" xfId="9035"/>
    <cellStyle name="40% - Accent3 4 2 3 3 2 2" xfId="9036"/>
    <cellStyle name="40% - Accent3 4 2 3 3 2 3" xfId="23046"/>
    <cellStyle name="40% - Accent3 4 2 3 3 3" xfId="9037"/>
    <cellStyle name="40% - Accent3 4 2 3 3 4" xfId="20463"/>
    <cellStyle name="40% - Accent3 4 2 3 4" xfId="9038"/>
    <cellStyle name="40% - Accent3 4 2 3 4 2" xfId="9039"/>
    <cellStyle name="40% - Accent3 4 2 3 4 3" xfId="21756"/>
    <cellStyle name="40% - Accent3 4 2 3 5" xfId="9040"/>
    <cellStyle name="40% - Accent3 4 2 3 6" xfId="19166"/>
    <cellStyle name="40% - Accent3 4 2 4" xfId="9041"/>
    <cellStyle name="40% - Accent3 4 2 4 2" xfId="9042"/>
    <cellStyle name="40% - Accent3 4 2 4 2 2" xfId="9043"/>
    <cellStyle name="40% - Accent3 4 2 4 2 2 2" xfId="9044"/>
    <cellStyle name="40% - Accent3 4 2 4 2 2 3" xfId="23369"/>
    <cellStyle name="40% - Accent3 4 2 4 2 3" xfId="9045"/>
    <cellStyle name="40% - Accent3 4 2 4 2 4" xfId="20786"/>
    <cellStyle name="40% - Accent3 4 2 4 3" xfId="9046"/>
    <cellStyle name="40% - Accent3 4 2 4 3 2" xfId="9047"/>
    <cellStyle name="40% - Accent3 4 2 4 3 3" xfId="22079"/>
    <cellStyle name="40% - Accent3 4 2 4 4" xfId="9048"/>
    <cellStyle name="40% - Accent3 4 2 4 5" xfId="19492"/>
    <cellStyle name="40% - Accent3 4 2 5" xfId="9049"/>
    <cellStyle name="40% - Accent3 4 2 5 2" xfId="9050"/>
    <cellStyle name="40% - Accent3 4 2 5 2 2" xfId="9051"/>
    <cellStyle name="40% - Accent3 4 2 5 2 3" xfId="22724"/>
    <cellStyle name="40% - Accent3 4 2 5 3" xfId="9052"/>
    <cellStyle name="40% - Accent3 4 2 5 4" xfId="20141"/>
    <cellStyle name="40% - Accent3 4 2 6" xfId="9053"/>
    <cellStyle name="40% - Accent3 4 2 6 2" xfId="9054"/>
    <cellStyle name="40% - Accent3 4 2 6 3" xfId="21434"/>
    <cellStyle name="40% - Accent3 4 2 7" xfId="9055"/>
    <cellStyle name="40% - Accent3 4 2 8" xfId="18835"/>
    <cellStyle name="40% - Accent3 4 3" xfId="9056"/>
    <cellStyle name="40% - Accent3 4 3 2" xfId="9057"/>
    <cellStyle name="40% - Accent3 4 3 2 2" xfId="9058"/>
    <cellStyle name="40% - Accent3 4 3 2 2 2" xfId="9059"/>
    <cellStyle name="40% - Accent3 4 3 2 2 2 2" xfId="9060"/>
    <cellStyle name="40% - Accent3 4 3 2 2 2 2 2" xfId="9061"/>
    <cellStyle name="40% - Accent3 4 3 2 2 2 2 3" xfId="23772"/>
    <cellStyle name="40% - Accent3 4 3 2 2 2 3" xfId="9062"/>
    <cellStyle name="40% - Accent3 4 3 2 2 2 4" xfId="21189"/>
    <cellStyle name="40% - Accent3 4 3 2 2 3" xfId="9063"/>
    <cellStyle name="40% - Accent3 4 3 2 2 3 2" xfId="9064"/>
    <cellStyle name="40% - Accent3 4 3 2 2 3 3" xfId="22482"/>
    <cellStyle name="40% - Accent3 4 3 2 2 4" xfId="9065"/>
    <cellStyle name="40% - Accent3 4 3 2 2 5" xfId="19895"/>
    <cellStyle name="40% - Accent3 4 3 2 3" xfId="9066"/>
    <cellStyle name="40% - Accent3 4 3 2 3 2" xfId="9067"/>
    <cellStyle name="40% - Accent3 4 3 2 3 2 2" xfId="9068"/>
    <cellStyle name="40% - Accent3 4 3 2 3 2 3" xfId="23127"/>
    <cellStyle name="40% - Accent3 4 3 2 3 3" xfId="9069"/>
    <cellStyle name="40% - Accent3 4 3 2 3 4" xfId="20544"/>
    <cellStyle name="40% - Accent3 4 3 2 4" xfId="9070"/>
    <cellStyle name="40% - Accent3 4 3 2 4 2" xfId="9071"/>
    <cellStyle name="40% - Accent3 4 3 2 4 3" xfId="21837"/>
    <cellStyle name="40% - Accent3 4 3 2 5" xfId="9072"/>
    <cellStyle name="40% - Accent3 4 3 2 6" xfId="19247"/>
    <cellStyle name="40% - Accent3 4 3 3" xfId="9073"/>
    <cellStyle name="40% - Accent3 4 3 3 2" xfId="9074"/>
    <cellStyle name="40% - Accent3 4 3 3 2 2" xfId="9075"/>
    <cellStyle name="40% - Accent3 4 3 3 2 2 2" xfId="9076"/>
    <cellStyle name="40% - Accent3 4 3 3 2 2 3" xfId="23450"/>
    <cellStyle name="40% - Accent3 4 3 3 2 3" xfId="9077"/>
    <cellStyle name="40% - Accent3 4 3 3 2 4" xfId="20867"/>
    <cellStyle name="40% - Accent3 4 3 3 3" xfId="9078"/>
    <cellStyle name="40% - Accent3 4 3 3 3 2" xfId="9079"/>
    <cellStyle name="40% - Accent3 4 3 3 3 3" xfId="22160"/>
    <cellStyle name="40% - Accent3 4 3 3 4" xfId="9080"/>
    <cellStyle name="40% - Accent3 4 3 3 5" xfId="19573"/>
    <cellStyle name="40% - Accent3 4 3 4" xfId="9081"/>
    <cellStyle name="40% - Accent3 4 3 4 2" xfId="9082"/>
    <cellStyle name="40% - Accent3 4 3 4 2 2" xfId="9083"/>
    <cellStyle name="40% - Accent3 4 3 4 2 3" xfId="22805"/>
    <cellStyle name="40% - Accent3 4 3 4 3" xfId="9084"/>
    <cellStyle name="40% - Accent3 4 3 4 4" xfId="20222"/>
    <cellStyle name="40% - Accent3 4 3 5" xfId="9085"/>
    <cellStyle name="40% - Accent3 4 3 5 2" xfId="9086"/>
    <cellStyle name="40% - Accent3 4 3 5 3" xfId="21515"/>
    <cellStyle name="40% - Accent3 4 3 6" xfId="9087"/>
    <cellStyle name="40% - Accent3 4 3 7" xfId="18921"/>
    <cellStyle name="40% - Accent3 4 4" xfId="9088"/>
    <cellStyle name="40% - Accent3 4 4 2" xfId="9089"/>
    <cellStyle name="40% - Accent3 4 4 2 2" xfId="9090"/>
    <cellStyle name="40% - Accent3 4 4 2 2 2" xfId="9091"/>
    <cellStyle name="40% - Accent3 4 4 2 2 2 2" xfId="9092"/>
    <cellStyle name="40% - Accent3 4 4 2 2 2 3" xfId="23611"/>
    <cellStyle name="40% - Accent3 4 4 2 2 3" xfId="9093"/>
    <cellStyle name="40% - Accent3 4 4 2 2 4" xfId="21028"/>
    <cellStyle name="40% - Accent3 4 4 2 3" xfId="9094"/>
    <cellStyle name="40% - Accent3 4 4 2 3 2" xfId="9095"/>
    <cellStyle name="40% - Accent3 4 4 2 3 3" xfId="22321"/>
    <cellStyle name="40% - Accent3 4 4 2 4" xfId="9096"/>
    <cellStyle name="40% - Accent3 4 4 2 5" xfId="19734"/>
    <cellStyle name="40% - Accent3 4 4 3" xfId="9097"/>
    <cellStyle name="40% - Accent3 4 4 3 2" xfId="9098"/>
    <cellStyle name="40% - Accent3 4 4 3 2 2" xfId="9099"/>
    <cellStyle name="40% - Accent3 4 4 3 2 3" xfId="22966"/>
    <cellStyle name="40% - Accent3 4 4 3 3" xfId="9100"/>
    <cellStyle name="40% - Accent3 4 4 3 4" xfId="20383"/>
    <cellStyle name="40% - Accent3 4 4 4" xfId="9101"/>
    <cellStyle name="40% - Accent3 4 4 4 2" xfId="9102"/>
    <cellStyle name="40% - Accent3 4 4 4 3" xfId="21676"/>
    <cellStyle name="40% - Accent3 4 4 5" xfId="9103"/>
    <cellStyle name="40% - Accent3 4 4 6" xfId="19086"/>
    <cellStyle name="40% - Accent3 4 5" xfId="9104"/>
    <cellStyle name="40% - Accent3 4 5 2" xfId="9105"/>
    <cellStyle name="40% - Accent3 4 5 2 2" xfId="9106"/>
    <cellStyle name="40% - Accent3 4 5 2 2 2" xfId="9107"/>
    <cellStyle name="40% - Accent3 4 5 2 2 3" xfId="23288"/>
    <cellStyle name="40% - Accent3 4 5 2 3" xfId="9108"/>
    <cellStyle name="40% - Accent3 4 5 2 4" xfId="20705"/>
    <cellStyle name="40% - Accent3 4 5 3" xfId="9109"/>
    <cellStyle name="40% - Accent3 4 5 3 2" xfId="9110"/>
    <cellStyle name="40% - Accent3 4 5 3 3" xfId="21998"/>
    <cellStyle name="40% - Accent3 4 5 4" xfId="9111"/>
    <cellStyle name="40% - Accent3 4 5 5" xfId="19412"/>
    <cellStyle name="40% - Accent3 4 6" xfId="9112"/>
    <cellStyle name="40% - Accent3 4 6 2" xfId="9113"/>
    <cellStyle name="40% - Accent3 4 6 2 2" xfId="9114"/>
    <cellStyle name="40% - Accent3 4 6 2 3" xfId="22643"/>
    <cellStyle name="40% - Accent3 4 6 3" xfId="9115"/>
    <cellStyle name="40% - Accent3 4 6 4" xfId="20060"/>
    <cellStyle name="40% - Accent3 4 7" xfId="9116"/>
    <cellStyle name="40% - Accent3 4 7 2" xfId="9117"/>
    <cellStyle name="40% - Accent3 4 7 3" xfId="21353"/>
    <cellStyle name="40% - Accent3 4 8" xfId="9118"/>
    <cellStyle name="40% - Accent3 4 9" xfId="18735"/>
    <cellStyle name="40% - Accent3 5" xfId="9119"/>
    <cellStyle name="40% - Accent3 5 2" xfId="9120"/>
    <cellStyle name="40% - Accent3 5 2 2" xfId="9121"/>
    <cellStyle name="40% - Accent3 5 2 2 2" xfId="9122"/>
    <cellStyle name="40% - Accent3 5 2 2 2 2" xfId="9123"/>
    <cellStyle name="40% - Accent3 5 2 2 2 2 2" xfId="9124"/>
    <cellStyle name="40% - Accent3 5 2 2 2 2 2 2" xfId="9125"/>
    <cellStyle name="40% - Accent3 5 2 2 2 2 2 3" xfId="23812"/>
    <cellStyle name="40% - Accent3 5 2 2 2 2 3" xfId="9126"/>
    <cellStyle name="40% - Accent3 5 2 2 2 2 4" xfId="21229"/>
    <cellStyle name="40% - Accent3 5 2 2 2 3" xfId="9127"/>
    <cellStyle name="40% - Accent3 5 2 2 2 3 2" xfId="9128"/>
    <cellStyle name="40% - Accent3 5 2 2 2 3 3" xfId="22522"/>
    <cellStyle name="40% - Accent3 5 2 2 2 4" xfId="9129"/>
    <cellStyle name="40% - Accent3 5 2 2 2 5" xfId="19935"/>
    <cellStyle name="40% - Accent3 5 2 2 3" xfId="9130"/>
    <cellStyle name="40% - Accent3 5 2 2 3 2" xfId="9131"/>
    <cellStyle name="40% - Accent3 5 2 2 3 2 2" xfId="9132"/>
    <cellStyle name="40% - Accent3 5 2 2 3 2 3" xfId="23167"/>
    <cellStyle name="40% - Accent3 5 2 2 3 3" xfId="9133"/>
    <cellStyle name="40% - Accent3 5 2 2 3 4" xfId="20584"/>
    <cellStyle name="40% - Accent3 5 2 2 4" xfId="9134"/>
    <cellStyle name="40% - Accent3 5 2 2 4 2" xfId="9135"/>
    <cellStyle name="40% - Accent3 5 2 2 4 3" xfId="21877"/>
    <cellStyle name="40% - Accent3 5 2 2 5" xfId="9136"/>
    <cellStyle name="40% - Accent3 5 2 2 6" xfId="19287"/>
    <cellStyle name="40% - Accent3 5 2 3" xfId="9137"/>
    <cellStyle name="40% - Accent3 5 2 3 2" xfId="9138"/>
    <cellStyle name="40% - Accent3 5 2 3 2 2" xfId="9139"/>
    <cellStyle name="40% - Accent3 5 2 3 2 2 2" xfId="9140"/>
    <cellStyle name="40% - Accent3 5 2 3 2 2 3" xfId="23490"/>
    <cellStyle name="40% - Accent3 5 2 3 2 3" xfId="9141"/>
    <cellStyle name="40% - Accent3 5 2 3 2 4" xfId="20907"/>
    <cellStyle name="40% - Accent3 5 2 3 3" xfId="9142"/>
    <cellStyle name="40% - Accent3 5 2 3 3 2" xfId="9143"/>
    <cellStyle name="40% - Accent3 5 2 3 3 3" xfId="22200"/>
    <cellStyle name="40% - Accent3 5 2 3 4" xfId="9144"/>
    <cellStyle name="40% - Accent3 5 2 3 5" xfId="19613"/>
    <cellStyle name="40% - Accent3 5 2 4" xfId="9145"/>
    <cellStyle name="40% - Accent3 5 2 4 2" xfId="9146"/>
    <cellStyle name="40% - Accent3 5 2 4 2 2" xfId="9147"/>
    <cellStyle name="40% - Accent3 5 2 4 2 3" xfId="22845"/>
    <cellStyle name="40% - Accent3 5 2 4 3" xfId="9148"/>
    <cellStyle name="40% - Accent3 5 2 4 4" xfId="20262"/>
    <cellStyle name="40% - Accent3 5 2 5" xfId="9149"/>
    <cellStyle name="40% - Accent3 5 2 5 2" xfId="9150"/>
    <cellStyle name="40% - Accent3 5 2 5 3" xfId="21555"/>
    <cellStyle name="40% - Accent3 5 2 6" xfId="9151"/>
    <cellStyle name="40% - Accent3 5 2 7" xfId="18961"/>
    <cellStyle name="40% - Accent3 5 3" xfId="9152"/>
    <cellStyle name="40% - Accent3 5 3 2" xfId="9153"/>
    <cellStyle name="40% - Accent3 5 3 2 2" xfId="9154"/>
    <cellStyle name="40% - Accent3 5 3 2 2 2" xfId="9155"/>
    <cellStyle name="40% - Accent3 5 3 2 2 2 2" xfId="9156"/>
    <cellStyle name="40% - Accent3 5 3 2 2 2 3" xfId="23651"/>
    <cellStyle name="40% - Accent3 5 3 2 2 3" xfId="9157"/>
    <cellStyle name="40% - Accent3 5 3 2 2 4" xfId="21068"/>
    <cellStyle name="40% - Accent3 5 3 2 3" xfId="9158"/>
    <cellStyle name="40% - Accent3 5 3 2 3 2" xfId="9159"/>
    <cellStyle name="40% - Accent3 5 3 2 3 3" xfId="22361"/>
    <cellStyle name="40% - Accent3 5 3 2 4" xfId="9160"/>
    <cellStyle name="40% - Accent3 5 3 2 5" xfId="19774"/>
    <cellStyle name="40% - Accent3 5 3 3" xfId="9161"/>
    <cellStyle name="40% - Accent3 5 3 3 2" xfId="9162"/>
    <cellStyle name="40% - Accent3 5 3 3 2 2" xfId="9163"/>
    <cellStyle name="40% - Accent3 5 3 3 2 3" xfId="23006"/>
    <cellStyle name="40% - Accent3 5 3 3 3" xfId="9164"/>
    <cellStyle name="40% - Accent3 5 3 3 4" xfId="20423"/>
    <cellStyle name="40% - Accent3 5 3 4" xfId="9165"/>
    <cellStyle name="40% - Accent3 5 3 4 2" xfId="9166"/>
    <cellStyle name="40% - Accent3 5 3 4 3" xfId="21716"/>
    <cellStyle name="40% - Accent3 5 3 5" xfId="9167"/>
    <cellStyle name="40% - Accent3 5 3 6" xfId="19126"/>
    <cellStyle name="40% - Accent3 5 4" xfId="9168"/>
    <cellStyle name="40% - Accent3 5 4 2" xfId="9169"/>
    <cellStyle name="40% - Accent3 5 4 2 2" xfId="9170"/>
    <cellStyle name="40% - Accent3 5 4 2 2 2" xfId="9171"/>
    <cellStyle name="40% - Accent3 5 4 2 2 3" xfId="23328"/>
    <cellStyle name="40% - Accent3 5 4 2 3" xfId="9172"/>
    <cellStyle name="40% - Accent3 5 4 2 4" xfId="20745"/>
    <cellStyle name="40% - Accent3 5 4 3" xfId="9173"/>
    <cellStyle name="40% - Accent3 5 4 3 2" xfId="9174"/>
    <cellStyle name="40% - Accent3 5 4 3 3" xfId="22038"/>
    <cellStyle name="40% - Accent3 5 4 4" xfId="9175"/>
    <cellStyle name="40% - Accent3 5 4 5" xfId="19452"/>
    <cellStyle name="40% - Accent3 5 5" xfId="9176"/>
    <cellStyle name="40% - Accent3 5 5 2" xfId="9177"/>
    <cellStyle name="40% - Accent3 5 5 2 2" xfId="9178"/>
    <cellStyle name="40% - Accent3 5 5 2 3" xfId="22683"/>
    <cellStyle name="40% - Accent3 5 5 3" xfId="9179"/>
    <cellStyle name="40% - Accent3 5 5 4" xfId="20100"/>
    <cellStyle name="40% - Accent3 5 6" xfId="9180"/>
    <cellStyle name="40% - Accent3 5 6 2" xfId="9181"/>
    <cellStyle name="40% - Accent3 5 6 3" xfId="21393"/>
    <cellStyle name="40% - Accent3 5 7" xfId="9182"/>
    <cellStyle name="40% - Accent3 5 8" xfId="18788"/>
    <cellStyle name="40% - Accent3 6" xfId="9183"/>
    <cellStyle name="40% - Accent3 6 2" xfId="9184"/>
    <cellStyle name="40% - Accent3 6 2 2" xfId="9185"/>
    <cellStyle name="40% - Accent3 6 2 2 2" xfId="9186"/>
    <cellStyle name="40% - Accent3 6 2 2 2 2" xfId="9187"/>
    <cellStyle name="40% - Accent3 6 2 2 2 2 2" xfId="9188"/>
    <cellStyle name="40% - Accent3 6 2 2 2 2 3" xfId="23731"/>
    <cellStyle name="40% - Accent3 6 2 2 2 3" xfId="9189"/>
    <cellStyle name="40% - Accent3 6 2 2 2 4" xfId="21148"/>
    <cellStyle name="40% - Accent3 6 2 2 3" xfId="9190"/>
    <cellStyle name="40% - Accent3 6 2 2 3 2" xfId="9191"/>
    <cellStyle name="40% - Accent3 6 2 2 3 3" xfId="22441"/>
    <cellStyle name="40% - Accent3 6 2 2 4" xfId="9192"/>
    <cellStyle name="40% - Accent3 6 2 2 5" xfId="19854"/>
    <cellStyle name="40% - Accent3 6 2 3" xfId="9193"/>
    <cellStyle name="40% - Accent3 6 2 3 2" xfId="9194"/>
    <cellStyle name="40% - Accent3 6 2 3 2 2" xfId="9195"/>
    <cellStyle name="40% - Accent3 6 2 3 2 3" xfId="23086"/>
    <cellStyle name="40% - Accent3 6 2 3 3" xfId="9196"/>
    <cellStyle name="40% - Accent3 6 2 3 4" xfId="20503"/>
    <cellStyle name="40% - Accent3 6 2 4" xfId="9197"/>
    <cellStyle name="40% - Accent3 6 2 4 2" xfId="9198"/>
    <cellStyle name="40% - Accent3 6 2 4 3" xfId="21796"/>
    <cellStyle name="40% - Accent3 6 2 5" xfId="9199"/>
    <cellStyle name="40% - Accent3 6 2 6" xfId="19206"/>
    <cellStyle name="40% - Accent3 6 3" xfId="9200"/>
    <cellStyle name="40% - Accent3 6 3 2" xfId="9201"/>
    <cellStyle name="40% - Accent3 6 3 2 2" xfId="9202"/>
    <cellStyle name="40% - Accent3 6 3 2 2 2" xfId="9203"/>
    <cellStyle name="40% - Accent3 6 3 2 2 3" xfId="23409"/>
    <cellStyle name="40% - Accent3 6 3 2 3" xfId="9204"/>
    <cellStyle name="40% - Accent3 6 3 2 4" xfId="20826"/>
    <cellStyle name="40% - Accent3 6 3 3" xfId="9205"/>
    <cellStyle name="40% - Accent3 6 3 3 2" xfId="9206"/>
    <cellStyle name="40% - Accent3 6 3 3 3" xfId="22119"/>
    <cellStyle name="40% - Accent3 6 3 4" xfId="9207"/>
    <cellStyle name="40% - Accent3 6 3 5" xfId="19532"/>
    <cellStyle name="40% - Accent3 6 4" xfId="9208"/>
    <cellStyle name="40% - Accent3 6 4 2" xfId="9209"/>
    <cellStyle name="40% - Accent3 6 4 2 2" xfId="9210"/>
    <cellStyle name="40% - Accent3 6 4 2 3" xfId="22764"/>
    <cellStyle name="40% - Accent3 6 4 3" xfId="9211"/>
    <cellStyle name="40% - Accent3 6 4 4" xfId="20181"/>
    <cellStyle name="40% - Accent3 6 5" xfId="9212"/>
    <cellStyle name="40% - Accent3 6 5 2" xfId="9213"/>
    <cellStyle name="40% - Accent3 6 5 3" xfId="21474"/>
    <cellStyle name="40% - Accent3 6 6" xfId="9214"/>
    <cellStyle name="40% - Accent3 6 7" xfId="18876"/>
    <cellStyle name="40% - Accent3 7" xfId="9215"/>
    <cellStyle name="40% - Accent3 7 2" xfId="9216"/>
    <cellStyle name="40% - Accent3 7 2 2" xfId="9217"/>
    <cellStyle name="40% - Accent3 7 2 2 2" xfId="9218"/>
    <cellStyle name="40% - Accent3 7 2 2 2 2" xfId="9219"/>
    <cellStyle name="40% - Accent3 7 2 2 2 3" xfId="23570"/>
    <cellStyle name="40% - Accent3 7 2 2 3" xfId="9220"/>
    <cellStyle name="40% - Accent3 7 2 2 4" xfId="20987"/>
    <cellStyle name="40% - Accent3 7 2 3" xfId="9221"/>
    <cellStyle name="40% - Accent3 7 2 3 2" xfId="9222"/>
    <cellStyle name="40% - Accent3 7 2 3 3" xfId="22280"/>
    <cellStyle name="40% - Accent3 7 2 4" xfId="9223"/>
    <cellStyle name="40% - Accent3 7 2 5" xfId="19693"/>
    <cellStyle name="40% - Accent3 7 3" xfId="9224"/>
    <cellStyle name="40% - Accent3 7 3 2" xfId="9225"/>
    <cellStyle name="40% - Accent3 7 3 2 2" xfId="9226"/>
    <cellStyle name="40% - Accent3 7 3 2 3" xfId="22925"/>
    <cellStyle name="40% - Accent3 7 3 3" xfId="9227"/>
    <cellStyle name="40% - Accent3 7 3 4" xfId="20342"/>
    <cellStyle name="40% - Accent3 7 4" xfId="9228"/>
    <cellStyle name="40% - Accent3 7 4 2" xfId="9229"/>
    <cellStyle name="40% - Accent3 7 4 3" xfId="21635"/>
    <cellStyle name="40% - Accent3 7 5" xfId="9230"/>
    <cellStyle name="40% - Accent3 7 6" xfId="19041"/>
    <cellStyle name="40% - Accent3 8" xfId="9231"/>
    <cellStyle name="40% - Accent3 8 2" xfId="9232"/>
    <cellStyle name="40% - Accent3 8 2 2" xfId="9233"/>
    <cellStyle name="40% - Accent3 8 2 2 2" xfId="9234"/>
    <cellStyle name="40% - Accent3 8 2 2 3" xfId="23247"/>
    <cellStyle name="40% - Accent3 8 2 3" xfId="9235"/>
    <cellStyle name="40% - Accent3 8 2 4" xfId="20664"/>
    <cellStyle name="40% - Accent3 8 3" xfId="9236"/>
    <cellStyle name="40% - Accent3 8 3 2" xfId="9237"/>
    <cellStyle name="40% - Accent3 8 3 3" xfId="21957"/>
    <cellStyle name="40% - Accent3 8 4" xfId="9238"/>
    <cellStyle name="40% - Accent3 8 5" xfId="19367"/>
    <cellStyle name="40% - Accent3 9" xfId="9239"/>
    <cellStyle name="40% - Accent3 9 2" xfId="9240"/>
    <cellStyle name="40% - Accent3 9 2 2" xfId="9241"/>
    <cellStyle name="40% - Accent3 9 2 3" xfId="22602"/>
    <cellStyle name="40% - Accent3 9 3" xfId="9242"/>
    <cellStyle name="40% - Accent3 9 4" xfId="20015"/>
    <cellStyle name="40% - Accent4 10" xfId="9243"/>
    <cellStyle name="40% - Accent4 10 2" xfId="9244"/>
    <cellStyle name="40% - Accent4 10 3" xfId="21310"/>
    <cellStyle name="40% - Accent4 11" xfId="9245"/>
    <cellStyle name="40% - Accent4 12" xfId="9246"/>
    <cellStyle name="40% - Accent4 13" xfId="9247"/>
    <cellStyle name="40% - Accent4 14" xfId="9248"/>
    <cellStyle name="40% - Accent4 15" xfId="18621"/>
    <cellStyle name="40% - Accent4 2" xfId="9249"/>
    <cellStyle name="40% - Accent4 2 10" xfId="9250"/>
    <cellStyle name="40% - Accent4 2 11" xfId="18639"/>
    <cellStyle name="40% - Accent4 2 2" xfId="9251"/>
    <cellStyle name="40% - Accent4 2 2 10" xfId="18726"/>
    <cellStyle name="40% - Accent4 2 2 2" xfId="9252"/>
    <cellStyle name="40% - Accent4 2 2 2 2" xfId="9253"/>
    <cellStyle name="40% - Accent4 2 2 2 2 2" xfId="9254"/>
    <cellStyle name="40% - Accent4 2 2 2 2 2 2" xfId="9255"/>
    <cellStyle name="40% - Accent4 2 2 2 2 2 2 2" xfId="9256"/>
    <cellStyle name="40% - Accent4 2 2 2 2 2 2 2 2" xfId="9257"/>
    <cellStyle name="40% - Accent4 2 2 2 2 2 2 2 2 2" xfId="9258"/>
    <cellStyle name="40% - Accent4 2 2 2 2 2 2 2 2 2 2" xfId="9259"/>
    <cellStyle name="40% - Accent4 2 2 2 2 2 2 2 2 2 3" xfId="23883"/>
    <cellStyle name="40% - Accent4 2 2 2 2 2 2 2 2 3" xfId="9260"/>
    <cellStyle name="40% - Accent4 2 2 2 2 2 2 2 2 4" xfId="21300"/>
    <cellStyle name="40% - Accent4 2 2 2 2 2 2 2 3" xfId="9261"/>
    <cellStyle name="40% - Accent4 2 2 2 2 2 2 2 3 2" xfId="9262"/>
    <cellStyle name="40% - Accent4 2 2 2 2 2 2 2 3 3" xfId="22593"/>
    <cellStyle name="40% - Accent4 2 2 2 2 2 2 2 4" xfId="9263"/>
    <cellStyle name="40% - Accent4 2 2 2 2 2 2 2 5" xfId="20006"/>
    <cellStyle name="40% - Accent4 2 2 2 2 2 2 3" xfId="9264"/>
    <cellStyle name="40% - Accent4 2 2 2 2 2 2 3 2" xfId="9265"/>
    <cellStyle name="40% - Accent4 2 2 2 2 2 2 3 2 2" xfId="9266"/>
    <cellStyle name="40% - Accent4 2 2 2 2 2 2 3 2 3" xfId="23238"/>
    <cellStyle name="40% - Accent4 2 2 2 2 2 2 3 3" xfId="9267"/>
    <cellStyle name="40% - Accent4 2 2 2 2 2 2 3 4" xfId="20655"/>
    <cellStyle name="40% - Accent4 2 2 2 2 2 2 4" xfId="9268"/>
    <cellStyle name="40% - Accent4 2 2 2 2 2 2 4 2" xfId="9269"/>
    <cellStyle name="40% - Accent4 2 2 2 2 2 2 4 3" xfId="21948"/>
    <cellStyle name="40% - Accent4 2 2 2 2 2 2 5" xfId="9270"/>
    <cellStyle name="40% - Accent4 2 2 2 2 2 2 6" xfId="19358"/>
    <cellStyle name="40% - Accent4 2 2 2 2 2 3" xfId="9271"/>
    <cellStyle name="40% - Accent4 2 2 2 2 2 3 2" xfId="9272"/>
    <cellStyle name="40% - Accent4 2 2 2 2 2 3 2 2" xfId="9273"/>
    <cellStyle name="40% - Accent4 2 2 2 2 2 3 2 2 2" xfId="9274"/>
    <cellStyle name="40% - Accent4 2 2 2 2 2 3 2 2 3" xfId="23561"/>
    <cellStyle name="40% - Accent4 2 2 2 2 2 3 2 3" xfId="9275"/>
    <cellStyle name="40% - Accent4 2 2 2 2 2 3 2 4" xfId="20978"/>
    <cellStyle name="40% - Accent4 2 2 2 2 2 3 3" xfId="9276"/>
    <cellStyle name="40% - Accent4 2 2 2 2 2 3 3 2" xfId="9277"/>
    <cellStyle name="40% - Accent4 2 2 2 2 2 3 3 3" xfId="22271"/>
    <cellStyle name="40% - Accent4 2 2 2 2 2 3 4" xfId="9278"/>
    <cellStyle name="40% - Accent4 2 2 2 2 2 3 5" xfId="19684"/>
    <cellStyle name="40% - Accent4 2 2 2 2 2 4" xfId="9279"/>
    <cellStyle name="40% - Accent4 2 2 2 2 2 4 2" xfId="9280"/>
    <cellStyle name="40% - Accent4 2 2 2 2 2 4 2 2" xfId="9281"/>
    <cellStyle name="40% - Accent4 2 2 2 2 2 4 2 3" xfId="22916"/>
    <cellStyle name="40% - Accent4 2 2 2 2 2 4 3" xfId="9282"/>
    <cellStyle name="40% - Accent4 2 2 2 2 2 4 4" xfId="20333"/>
    <cellStyle name="40% - Accent4 2 2 2 2 2 5" xfId="9283"/>
    <cellStyle name="40% - Accent4 2 2 2 2 2 5 2" xfId="9284"/>
    <cellStyle name="40% - Accent4 2 2 2 2 2 5 3" xfId="21626"/>
    <cellStyle name="40% - Accent4 2 2 2 2 2 6" xfId="9285"/>
    <cellStyle name="40% - Accent4 2 2 2 2 2 7" xfId="19032"/>
    <cellStyle name="40% - Accent4 2 2 2 2 3" xfId="9286"/>
    <cellStyle name="40% - Accent4 2 2 2 2 3 2" xfId="9287"/>
    <cellStyle name="40% - Accent4 2 2 2 2 3 2 2" xfId="9288"/>
    <cellStyle name="40% - Accent4 2 2 2 2 3 2 2 2" xfId="9289"/>
    <cellStyle name="40% - Accent4 2 2 2 2 3 2 2 2 2" xfId="9290"/>
    <cellStyle name="40% - Accent4 2 2 2 2 3 2 2 2 3" xfId="23722"/>
    <cellStyle name="40% - Accent4 2 2 2 2 3 2 2 3" xfId="9291"/>
    <cellStyle name="40% - Accent4 2 2 2 2 3 2 2 4" xfId="21139"/>
    <cellStyle name="40% - Accent4 2 2 2 2 3 2 3" xfId="9292"/>
    <cellStyle name="40% - Accent4 2 2 2 2 3 2 3 2" xfId="9293"/>
    <cellStyle name="40% - Accent4 2 2 2 2 3 2 3 3" xfId="22432"/>
    <cellStyle name="40% - Accent4 2 2 2 2 3 2 4" xfId="9294"/>
    <cellStyle name="40% - Accent4 2 2 2 2 3 2 5" xfId="19845"/>
    <cellStyle name="40% - Accent4 2 2 2 2 3 3" xfId="9295"/>
    <cellStyle name="40% - Accent4 2 2 2 2 3 3 2" xfId="9296"/>
    <cellStyle name="40% - Accent4 2 2 2 2 3 3 2 2" xfId="9297"/>
    <cellStyle name="40% - Accent4 2 2 2 2 3 3 2 3" xfId="23077"/>
    <cellStyle name="40% - Accent4 2 2 2 2 3 3 3" xfId="9298"/>
    <cellStyle name="40% - Accent4 2 2 2 2 3 3 4" xfId="20494"/>
    <cellStyle name="40% - Accent4 2 2 2 2 3 4" xfId="9299"/>
    <cellStyle name="40% - Accent4 2 2 2 2 3 4 2" xfId="9300"/>
    <cellStyle name="40% - Accent4 2 2 2 2 3 4 3" xfId="21787"/>
    <cellStyle name="40% - Accent4 2 2 2 2 3 5" xfId="9301"/>
    <cellStyle name="40% - Accent4 2 2 2 2 3 6" xfId="19197"/>
    <cellStyle name="40% - Accent4 2 2 2 2 4" xfId="9302"/>
    <cellStyle name="40% - Accent4 2 2 2 2 4 2" xfId="9303"/>
    <cellStyle name="40% - Accent4 2 2 2 2 4 2 2" xfId="9304"/>
    <cellStyle name="40% - Accent4 2 2 2 2 4 2 2 2" xfId="9305"/>
    <cellStyle name="40% - Accent4 2 2 2 2 4 2 2 3" xfId="23400"/>
    <cellStyle name="40% - Accent4 2 2 2 2 4 2 3" xfId="9306"/>
    <cellStyle name="40% - Accent4 2 2 2 2 4 2 4" xfId="20817"/>
    <cellStyle name="40% - Accent4 2 2 2 2 4 3" xfId="9307"/>
    <cellStyle name="40% - Accent4 2 2 2 2 4 3 2" xfId="9308"/>
    <cellStyle name="40% - Accent4 2 2 2 2 4 3 3" xfId="22110"/>
    <cellStyle name="40% - Accent4 2 2 2 2 4 4" xfId="9309"/>
    <cellStyle name="40% - Accent4 2 2 2 2 4 5" xfId="19523"/>
    <cellStyle name="40% - Accent4 2 2 2 2 5" xfId="9310"/>
    <cellStyle name="40% - Accent4 2 2 2 2 5 2" xfId="9311"/>
    <cellStyle name="40% - Accent4 2 2 2 2 5 2 2" xfId="9312"/>
    <cellStyle name="40% - Accent4 2 2 2 2 5 2 3" xfId="22755"/>
    <cellStyle name="40% - Accent4 2 2 2 2 5 3" xfId="9313"/>
    <cellStyle name="40% - Accent4 2 2 2 2 5 4" xfId="20172"/>
    <cellStyle name="40% - Accent4 2 2 2 2 6" xfId="9314"/>
    <cellStyle name="40% - Accent4 2 2 2 2 6 2" xfId="9315"/>
    <cellStyle name="40% - Accent4 2 2 2 2 6 3" xfId="21465"/>
    <cellStyle name="40% - Accent4 2 2 2 2 7" xfId="9316"/>
    <cellStyle name="40% - Accent4 2 2 2 2 8" xfId="18867"/>
    <cellStyle name="40% - Accent4 2 2 2 3" xfId="9317"/>
    <cellStyle name="40% - Accent4 2 2 2 3 2" xfId="9318"/>
    <cellStyle name="40% - Accent4 2 2 2 3 2 2" xfId="9319"/>
    <cellStyle name="40% - Accent4 2 2 2 3 2 2 2" xfId="9320"/>
    <cellStyle name="40% - Accent4 2 2 2 3 2 2 2 2" xfId="9321"/>
    <cellStyle name="40% - Accent4 2 2 2 3 2 2 2 2 2" xfId="9322"/>
    <cellStyle name="40% - Accent4 2 2 2 3 2 2 2 2 3" xfId="23803"/>
    <cellStyle name="40% - Accent4 2 2 2 3 2 2 2 3" xfId="9323"/>
    <cellStyle name="40% - Accent4 2 2 2 3 2 2 2 4" xfId="21220"/>
    <cellStyle name="40% - Accent4 2 2 2 3 2 2 3" xfId="9324"/>
    <cellStyle name="40% - Accent4 2 2 2 3 2 2 3 2" xfId="9325"/>
    <cellStyle name="40% - Accent4 2 2 2 3 2 2 3 3" xfId="22513"/>
    <cellStyle name="40% - Accent4 2 2 2 3 2 2 4" xfId="9326"/>
    <cellStyle name="40% - Accent4 2 2 2 3 2 2 5" xfId="19926"/>
    <cellStyle name="40% - Accent4 2 2 2 3 2 3" xfId="9327"/>
    <cellStyle name="40% - Accent4 2 2 2 3 2 3 2" xfId="9328"/>
    <cellStyle name="40% - Accent4 2 2 2 3 2 3 2 2" xfId="9329"/>
    <cellStyle name="40% - Accent4 2 2 2 3 2 3 2 3" xfId="23158"/>
    <cellStyle name="40% - Accent4 2 2 2 3 2 3 3" xfId="9330"/>
    <cellStyle name="40% - Accent4 2 2 2 3 2 3 4" xfId="20575"/>
    <cellStyle name="40% - Accent4 2 2 2 3 2 4" xfId="9331"/>
    <cellStyle name="40% - Accent4 2 2 2 3 2 4 2" xfId="9332"/>
    <cellStyle name="40% - Accent4 2 2 2 3 2 4 3" xfId="21868"/>
    <cellStyle name="40% - Accent4 2 2 2 3 2 5" xfId="9333"/>
    <cellStyle name="40% - Accent4 2 2 2 3 2 6" xfId="19278"/>
    <cellStyle name="40% - Accent4 2 2 2 3 3" xfId="9334"/>
    <cellStyle name="40% - Accent4 2 2 2 3 3 2" xfId="9335"/>
    <cellStyle name="40% - Accent4 2 2 2 3 3 2 2" xfId="9336"/>
    <cellStyle name="40% - Accent4 2 2 2 3 3 2 2 2" xfId="9337"/>
    <cellStyle name="40% - Accent4 2 2 2 3 3 2 2 3" xfId="23481"/>
    <cellStyle name="40% - Accent4 2 2 2 3 3 2 3" xfId="9338"/>
    <cellStyle name="40% - Accent4 2 2 2 3 3 2 4" xfId="20898"/>
    <cellStyle name="40% - Accent4 2 2 2 3 3 3" xfId="9339"/>
    <cellStyle name="40% - Accent4 2 2 2 3 3 3 2" xfId="9340"/>
    <cellStyle name="40% - Accent4 2 2 2 3 3 3 3" xfId="22191"/>
    <cellStyle name="40% - Accent4 2 2 2 3 3 4" xfId="9341"/>
    <cellStyle name="40% - Accent4 2 2 2 3 3 5" xfId="19604"/>
    <cellStyle name="40% - Accent4 2 2 2 3 4" xfId="9342"/>
    <cellStyle name="40% - Accent4 2 2 2 3 4 2" xfId="9343"/>
    <cellStyle name="40% - Accent4 2 2 2 3 4 2 2" xfId="9344"/>
    <cellStyle name="40% - Accent4 2 2 2 3 4 2 3" xfId="22836"/>
    <cellStyle name="40% - Accent4 2 2 2 3 4 3" xfId="9345"/>
    <cellStyle name="40% - Accent4 2 2 2 3 4 4" xfId="20253"/>
    <cellStyle name="40% - Accent4 2 2 2 3 5" xfId="9346"/>
    <cellStyle name="40% - Accent4 2 2 2 3 5 2" xfId="9347"/>
    <cellStyle name="40% - Accent4 2 2 2 3 5 3" xfId="21546"/>
    <cellStyle name="40% - Accent4 2 2 2 3 6" xfId="9348"/>
    <cellStyle name="40% - Accent4 2 2 2 3 7" xfId="18952"/>
    <cellStyle name="40% - Accent4 2 2 2 4" xfId="9349"/>
    <cellStyle name="40% - Accent4 2 2 2 4 2" xfId="9350"/>
    <cellStyle name="40% - Accent4 2 2 2 4 2 2" xfId="9351"/>
    <cellStyle name="40% - Accent4 2 2 2 4 2 2 2" xfId="9352"/>
    <cellStyle name="40% - Accent4 2 2 2 4 2 2 2 2" xfId="9353"/>
    <cellStyle name="40% - Accent4 2 2 2 4 2 2 2 3" xfId="23642"/>
    <cellStyle name="40% - Accent4 2 2 2 4 2 2 3" xfId="9354"/>
    <cellStyle name="40% - Accent4 2 2 2 4 2 2 4" xfId="21059"/>
    <cellStyle name="40% - Accent4 2 2 2 4 2 3" xfId="9355"/>
    <cellStyle name="40% - Accent4 2 2 2 4 2 3 2" xfId="9356"/>
    <cellStyle name="40% - Accent4 2 2 2 4 2 3 3" xfId="22352"/>
    <cellStyle name="40% - Accent4 2 2 2 4 2 4" xfId="9357"/>
    <cellStyle name="40% - Accent4 2 2 2 4 2 5" xfId="19765"/>
    <cellStyle name="40% - Accent4 2 2 2 4 3" xfId="9358"/>
    <cellStyle name="40% - Accent4 2 2 2 4 3 2" xfId="9359"/>
    <cellStyle name="40% - Accent4 2 2 2 4 3 2 2" xfId="9360"/>
    <cellStyle name="40% - Accent4 2 2 2 4 3 2 3" xfId="22997"/>
    <cellStyle name="40% - Accent4 2 2 2 4 3 3" xfId="9361"/>
    <cellStyle name="40% - Accent4 2 2 2 4 3 4" xfId="20414"/>
    <cellStyle name="40% - Accent4 2 2 2 4 4" xfId="9362"/>
    <cellStyle name="40% - Accent4 2 2 2 4 4 2" xfId="9363"/>
    <cellStyle name="40% - Accent4 2 2 2 4 4 3" xfId="21707"/>
    <cellStyle name="40% - Accent4 2 2 2 4 5" xfId="9364"/>
    <cellStyle name="40% - Accent4 2 2 2 4 6" xfId="19117"/>
    <cellStyle name="40% - Accent4 2 2 2 5" xfId="9365"/>
    <cellStyle name="40% - Accent4 2 2 2 5 2" xfId="9366"/>
    <cellStyle name="40% - Accent4 2 2 2 5 2 2" xfId="9367"/>
    <cellStyle name="40% - Accent4 2 2 2 5 2 2 2" xfId="9368"/>
    <cellStyle name="40% - Accent4 2 2 2 5 2 2 3" xfId="23319"/>
    <cellStyle name="40% - Accent4 2 2 2 5 2 3" xfId="9369"/>
    <cellStyle name="40% - Accent4 2 2 2 5 2 4" xfId="20736"/>
    <cellStyle name="40% - Accent4 2 2 2 5 3" xfId="9370"/>
    <cellStyle name="40% - Accent4 2 2 2 5 3 2" xfId="9371"/>
    <cellStyle name="40% - Accent4 2 2 2 5 3 3" xfId="22029"/>
    <cellStyle name="40% - Accent4 2 2 2 5 4" xfId="9372"/>
    <cellStyle name="40% - Accent4 2 2 2 5 5" xfId="19443"/>
    <cellStyle name="40% - Accent4 2 2 2 6" xfId="9373"/>
    <cellStyle name="40% - Accent4 2 2 2 6 2" xfId="9374"/>
    <cellStyle name="40% - Accent4 2 2 2 6 2 2" xfId="9375"/>
    <cellStyle name="40% - Accent4 2 2 2 6 2 3" xfId="22674"/>
    <cellStyle name="40% - Accent4 2 2 2 6 3" xfId="9376"/>
    <cellStyle name="40% - Accent4 2 2 2 6 4" xfId="20091"/>
    <cellStyle name="40% - Accent4 2 2 2 7" xfId="9377"/>
    <cellStyle name="40% - Accent4 2 2 2 7 2" xfId="9378"/>
    <cellStyle name="40% - Accent4 2 2 2 7 3" xfId="21384"/>
    <cellStyle name="40% - Accent4 2 2 2 8" xfId="9379"/>
    <cellStyle name="40% - Accent4 2 2 2 9" xfId="18770"/>
    <cellStyle name="40% - Accent4 2 2 3" xfId="9380"/>
    <cellStyle name="40% - Accent4 2 2 3 2" xfId="9381"/>
    <cellStyle name="40% - Accent4 2 2 3 2 2" xfId="9382"/>
    <cellStyle name="40% - Accent4 2 2 3 2 2 2" xfId="9383"/>
    <cellStyle name="40% - Accent4 2 2 3 2 2 2 2" xfId="9384"/>
    <cellStyle name="40% - Accent4 2 2 3 2 2 2 2 2" xfId="9385"/>
    <cellStyle name="40% - Accent4 2 2 3 2 2 2 2 2 2" xfId="9386"/>
    <cellStyle name="40% - Accent4 2 2 3 2 2 2 2 2 3" xfId="23843"/>
    <cellStyle name="40% - Accent4 2 2 3 2 2 2 2 3" xfId="9387"/>
    <cellStyle name="40% - Accent4 2 2 3 2 2 2 2 4" xfId="21260"/>
    <cellStyle name="40% - Accent4 2 2 3 2 2 2 3" xfId="9388"/>
    <cellStyle name="40% - Accent4 2 2 3 2 2 2 3 2" xfId="9389"/>
    <cellStyle name="40% - Accent4 2 2 3 2 2 2 3 3" xfId="22553"/>
    <cellStyle name="40% - Accent4 2 2 3 2 2 2 4" xfId="9390"/>
    <cellStyle name="40% - Accent4 2 2 3 2 2 2 5" xfId="19966"/>
    <cellStyle name="40% - Accent4 2 2 3 2 2 3" xfId="9391"/>
    <cellStyle name="40% - Accent4 2 2 3 2 2 3 2" xfId="9392"/>
    <cellStyle name="40% - Accent4 2 2 3 2 2 3 2 2" xfId="9393"/>
    <cellStyle name="40% - Accent4 2 2 3 2 2 3 2 3" xfId="23198"/>
    <cellStyle name="40% - Accent4 2 2 3 2 2 3 3" xfId="9394"/>
    <cellStyle name="40% - Accent4 2 2 3 2 2 3 4" xfId="20615"/>
    <cellStyle name="40% - Accent4 2 2 3 2 2 4" xfId="9395"/>
    <cellStyle name="40% - Accent4 2 2 3 2 2 4 2" xfId="9396"/>
    <cellStyle name="40% - Accent4 2 2 3 2 2 4 3" xfId="21908"/>
    <cellStyle name="40% - Accent4 2 2 3 2 2 5" xfId="9397"/>
    <cellStyle name="40% - Accent4 2 2 3 2 2 6" xfId="19318"/>
    <cellStyle name="40% - Accent4 2 2 3 2 3" xfId="9398"/>
    <cellStyle name="40% - Accent4 2 2 3 2 3 2" xfId="9399"/>
    <cellStyle name="40% - Accent4 2 2 3 2 3 2 2" xfId="9400"/>
    <cellStyle name="40% - Accent4 2 2 3 2 3 2 2 2" xfId="9401"/>
    <cellStyle name="40% - Accent4 2 2 3 2 3 2 2 3" xfId="23521"/>
    <cellStyle name="40% - Accent4 2 2 3 2 3 2 3" xfId="9402"/>
    <cellStyle name="40% - Accent4 2 2 3 2 3 2 4" xfId="20938"/>
    <cellStyle name="40% - Accent4 2 2 3 2 3 3" xfId="9403"/>
    <cellStyle name="40% - Accent4 2 2 3 2 3 3 2" xfId="9404"/>
    <cellStyle name="40% - Accent4 2 2 3 2 3 3 3" xfId="22231"/>
    <cellStyle name="40% - Accent4 2 2 3 2 3 4" xfId="9405"/>
    <cellStyle name="40% - Accent4 2 2 3 2 3 5" xfId="19644"/>
    <cellStyle name="40% - Accent4 2 2 3 2 4" xfId="9406"/>
    <cellStyle name="40% - Accent4 2 2 3 2 4 2" xfId="9407"/>
    <cellStyle name="40% - Accent4 2 2 3 2 4 2 2" xfId="9408"/>
    <cellStyle name="40% - Accent4 2 2 3 2 4 2 3" xfId="22876"/>
    <cellStyle name="40% - Accent4 2 2 3 2 4 3" xfId="9409"/>
    <cellStyle name="40% - Accent4 2 2 3 2 4 4" xfId="20293"/>
    <cellStyle name="40% - Accent4 2 2 3 2 5" xfId="9410"/>
    <cellStyle name="40% - Accent4 2 2 3 2 5 2" xfId="9411"/>
    <cellStyle name="40% - Accent4 2 2 3 2 5 3" xfId="21586"/>
    <cellStyle name="40% - Accent4 2 2 3 2 6" xfId="9412"/>
    <cellStyle name="40% - Accent4 2 2 3 2 7" xfId="18992"/>
    <cellStyle name="40% - Accent4 2 2 3 3" xfId="9413"/>
    <cellStyle name="40% - Accent4 2 2 3 3 2" xfId="9414"/>
    <cellStyle name="40% - Accent4 2 2 3 3 2 2" xfId="9415"/>
    <cellStyle name="40% - Accent4 2 2 3 3 2 2 2" xfId="9416"/>
    <cellStyle name="40% - Accent4 2 2 3 3 2 2 2 2" xfId="9417"/>
    <cellStyle name="40% - Accent4 2 2 3 3 2 2 2 3" xfId="23682"/>
    <cellStyle name="40% - Accent4 2 2 3 3 2 2 3" xfId="9418"/>
    <cellStyle name="40% - Accent4 2 2 3 3 2 2 4" xfId="21099"/>
    <cellStyle name="40% - Accent4 2 2 3 3 2 3" xfId="9419"/>
    <cellStyle name="40% - Accent4 2 2 3 3 2 3 2" xfId="9420"/>
    <cellStyle name="40% - Accent4 2 2 3 3 2 3 3" xfId="22392"/>
    <cellStyle name="40% - Accent4 2 2 3 3 2 4" xfId="9421"/>
    <cellStyle name="40% - Accent4 2 2 3 3 2 5" xfId="19805"/>
    <cellStyle name="40% - Accent4 2 2 3 3 3" xfId="9422"/>
    <cellStyle name="40% - Accent4 2 2 3 3 3 2" xfId="9423"/>
    <cellStyle name="40% - Accent4 2 2 3 3 3 2 2" xfId="9424"/>
    <cellStyle name="40% - Accent4 2 2 3 3 3 2 3" xfId="23037"/>
    <cellStyle name="40% - Accent4 2 2 3 3 3 3" xfId="9425"/>
    <cellStyle name="40% - Accent4 2 2 3 3 3 4" xfId="20454"/>
    <cellStyle name="40% - Accent4 2 2 3 3 4" xfId="9426"/>
    <cellStyle name="40% - Accent4 2 2 3 3 4 2" xfId="9427"/>
    <cellStyle name="40% - Accent4 2 2 3 3 4 3" xfId="21747"/>
    <cellStyle name="40% - Accent4 2 2 3 3 5" xfId="9428"/>
    <cellStyle name="40% - Accent4 2 2 3 3 6" xfId="19157"/>
    <cellStyle name="40% - Accent4 2 2 3 4" xfId="9429"/>
    <cellStyle name="40% - Accent4 2 2 3 4 2" xfId="9430"/>
    <cellStyle name="40% - Accent4 2 2 3 4 2 2" xfId="9431"/>
    <cellStyle name="40% - Accent4 2 2 3 4 2 2 2" xfId="9432"/>
    <cellStyle name="40% - Accent4 2 2 3 4 2 2 3" xfId="23360"/>
    <cellStyle name="40% - Accent4 2 2 3 4 2 3" xfId="9433"/>
    <cellStyle name="40% - Accent4 2 2 3 4 2 4" xfId="20777"/>
    <cellStyle name="40% - Accent4 2 2 3 4 3" xfId="9434"/>
    <cellStyle name="40% - Accent4 2 2 3 4 3 2" xfId="9435"/>
    <cellStyle name="40% - Accent4 2 2 3 4 3 3" xfId="22070"/>
    <cellStyle name="40% - Accent4 2 2 3 4 4" xfId="9436"/>
    <cellStyle name="40% - Accent4 2 2 3 4 5" xfId="19483"/>
    <cellStyle name="40% - Accent4 2 2 3 5" xfId="9437"/>
    <cellStyle name="40% - Accent4 2 2 3 5 2" xfId="9438"/>
    <cellStyle name="40% - Accent4 2 2 3 5 2 2" xfId="9439"/>
    <cellStyle name="40% - Accent4 2 2 3 5 2 3" xfId="22715"/>
    <cellStyle name="40% - Accent4 2 2 3 5 3" xfId="9440"/>
    <cellStyle name="40% - Accent4 2 2 3 5 4" xfId="20132"/>
    <cellStyle name="40% - Accent4 2 2 3 6" xfId="9441"/>
    <cellStyle name="40% - Accent4 2 2 3 6 2" xfId="9442"/>
    <cellStyle name="40% - Accent4 2 2 3 6 3" xfId="21425"/>
    <cellStyle name="40% - Accent4 2 2 3 7" xfId="9443"/>
    <cellStyle name="40% - Accent4 2 2 3 8" xfId="18826"/>
    <cellStyle name="40% - Accent4 2 2 4" xfId="9444"/>
    <cellStyle name="40% - Accent4 2 2 4 2" xfId="9445"/>
    <cellStyle name="40% - Accent4 2 2 4 2 2" xfId="9446"/>
    <cellStyle name="40% - Accent4 2 2 4 2 2 2" xfId="9447"/>
    <cellStyle name="40% - Accent4 2 2 4 2 2 2 2" xfId="9448"/>
    <cellStyle name="40% - Accent4 2 2 4 2 2 2 2 2" xfId="9449"/>
    <cellStyle name="40% - Accent4 2 2 4 2 2 2 2 3" xfId="23763"/>
    <cellStyle name="40% - Accent4 2 2 4 2 2 2 3" xfId="9450"/>
    <cellStyle name="40% - Accent4 2 2 4 2 2 2 4" xfId="21180"/>
    <cellStyle name="40% - Accent4 2 2 4 2 2 3" xfId="9451"/>
    <cellStyle name="40% - Accent4 2 2 4 2 2 3 2" xfId="9452"/>
    <cellStyle name="40% - Accent4 2 2 4 2 2 3 3" xfId="22473"/>
    <cellStyle name="40% - Accent4 2 2 4 2 2 4" xfId="9453"/>
    <cellStyle name="40% - Accent4 2 2 4 2 2 5" xfId="19886"/>
    <cellStyle name="40% - Accent4 2 2 4 2 3" xfId="9454"/>
    <cellStyle name="40% - Accent4 2 2 4 2 3 2" xfId="9455"/>
    <cellStyle name="40% - Accent4 2 2 4 2 3 2 2" xfId="9456"/>
    <cellStyle name="40% - Accent4 2 2 4 2 3 2 3" xfId="23118"/>
    <cellStyle name="40% - Accent4 2 2 4 2 3 3" xfId="9457"/>
    <cellStyle name="40% - Accent4 2 2 4 2 3 4" xfId="20535"/>
    <cellStyle name="40% - Accent4 2 2 4 2 4" xfId="9458"/>
    <cellStyle name="40% - Accent4 2 2 4 2 4 2" xfId="9459"/>
    <cellStyle name="40% - Accent4 2 2 4 2 4 3" xfId="21828"/>
    <cellStyle name="40% - Accent4 2 2 4 2 5" xfId="9460"/>
    <cellStyle name="40% - Accent4 2 2 4 2 6" xfId="19238"/>
    <cellStyle name="40% - Accent4 2 2 4 3" xfId="9461"/>
    <cellStyle name="40% - Accent4 2 2 4 3 2" xfId="9462"/>
    <cellStyle name="40% - Accent4 2 2 4 3 2 2" xfId="9463"/>
    <cellStyle name="40% - Accent4 2 2 4 3 2 2 2" xfId="9464"/>
    <cellStyle name="40% - Accent4 2 2 4 3 2 2 3" xfId="23441"/>
    <cellStyle name="40% - Accent4 2 2 4 3 2 3" xfId="9465"/>
    <cellStyle name="40% - Accent4 2 2 4 3 2 4" xfId="20858"/>
    <cellStyle name="40% - Accent4 2 2 4 3 3" xfId="9466"/>
    <cellStyle name="40% - Accent4 2 2 4 3 3 2" xfId="9467"/>
    <cellStyle name="40% - Accent4 2 2 4 3 3 3" xfId="22151"/>
    <cellStyle name="40% - Accent4 2 2 4 3 4" xfId="9468"/>
    <cellStyle name="40% - Accent4 2 2 4 3 5" xfId="19564"/>
    <cellStyle name="40% - Accent4 2 2 4 4" xfId="9469"/>
    <cellStyle name="40% - Accent4 2 2 4 4 2" xfId="9470"/>
    <cellStyle name="40% - Accent4 2 2 4 4 2 2" xfId="9471"/>
    <cellStyle name="40% - Accent4 2 2 4 4 2 3" xfId="22796"/>
    <cellStyle name="40% - Accent4 2 2 4 4 3" xfId="9472"/>
    <cellStyle name="40% - Accent4 2 2 4 4 4" xfId="20213"/>
    <cellStyle name="40% - Accent4 2 2 4 5" xfId="9473"/>
    <cellStyle name="40% - Accent4 2 2 4 5 2" xfId="9474"/>
    <cellStyle name="40% - Accent4 2 2 4 5 3" xfId="21506"/>
    <cellStyle name="40% - Accent4 2 2 4 6" xfId="9475"/>
    <cellStyle name="40% - Accent4 2 2 4 7" xfId="18912"/>
    <cellStyle name="40% - Accent4 2 2 5" xfId="9476"/>
    <cellStyle name="40% - Accent4 2 2 5 2" xfId="9477"/>
    <cellStyle name="40% - Accent4 2 2 5 2 2" xfId="9478"/>
    <cellStyle name="40% - Accent4 2 2 5 2 2 2" xfId="9479"/>
    <cellStyle name="40% - Accent4 2 2 5 2 2 2 2" xfId="9480"/>
    <cellStyle name="40% - Accent4 2 2 5 2 2 2 3" xfId="23602"/>
    <cellStyle name="40% - Accent4 2 2 5 2 2 3" xfId="9481"/>
    <cellStyle name="40% - Accent4 2 2 5 2 2 4" xfId="21019"/>
    <cellStyle name="40% - Accent4 2 2 5 2 3" xfId="9482"/>
    <cellStyle name="40% - Accent4 2 2 5 2 3 2" xfId="9483"/>
    <cellStyle name="40% - Accent4 2 2 5 2 3 3" xfId="22312"/>
    <cellStyle name="40% - Accent4 2 2 5 2 4" xfId="9484"/>
    <cellStyle name="40% - Accent4 2 2 5 2 5" xfId="19725"/>
    <cellStyle name="40% - Accent4 2 2 5 3" xfId="9485"/>
    <cellStyle name="40% - Accent4 2 2 5 3 2" xfId="9486"/>
    <cellStyle name="40% - Accent4 2 2 5 3 2 2" xfId="9487"/>
    <cellStyle name="40% - Accent4 2 2 5 3 2 3" xfId="22957"/>
    <cellStyle name="40% - Accent4 2 2 5 3 3" xfId="9488"/>
    <cellStyle name="40% - Accent4 2 2 5 3 4" xfId="20374"/>
    <cellStyle name="40% - Accent4 2 2 5 4" xfId="9489"/>
    <cellStyle name="40% - Accent4 2 2 5 4 2" xfId="9490"/>
    <cellStyle name="40% - Accent4 2 2 5 4 3" xfId="21667"/>
    <cellStyle name="40% - Accent4 2 2 5 5" xfId="9491"/>
    <cellStyle name="40% - Accent4 2 2 5 6" xfId="19077"/>
    <cellStyle name="40% - Accent4 2 2 6" xfId="9492"/>
    <cellStyle name="40% - Accent4 2 2 6 2" xfId="9493"/>
    <cellStyle name="40% - Accent4 2 2 6 2 2" xfId="9494"/>
    <cellStyle name="40% - Accent4 2 2 6 2 2 2" xfId="9495"/>
    <cellStyle name="40% - Accent4 2 2 6 2 2 3" xfId="23279"/>
    <cellStyle name="40% - Accent4 2 2 6 2 3" xfId="9496"/>
    <cellStyle name="40% - Accent4 2 2 6 2 4" xfId="20696"/>
    <cellStyle name="40% - Accent4 2 2 6 3" xfId="9497"/>
    <cellStyle name="40% - Accent4 2 2 6 3 2" xfId="9498"/>
    <cellStyle name="40% - Accent4 2 2 6 3 3" xfId="21989"/>
    <cellStyle name="40% - Accent4 2 2 6 4" xfId="9499"/>
    <cellStyle name="40% - Accent4 2 2 6 5" xfId="19403"/>
    <cellStyle name="40% - Accent4 2 2 7" xfId="9500"/>
    <cellStyle name="40% - Accent4 2 2 7 2" xfId="9501"/>
    <cellStyle name="40% - Accent4 2 2 7 2 2" xfId="9502"/>
    <cellStyle name="40% - Accent4 2 2 7 2 3" xfId="22634"/>
    <cellStyle name="40% - Accent4 2 2 7 3" xfId="9503"/>
    <cellStyle name="40% - Accent4 2 2 7 4" xfId="20051"/>
    <cellStyle name="40% - Accent4 2 2 8" xfId="9504"/>
    <cellStyle name="40% - Accent4 2 2 8 2" xfId="9505"/>
    <cellStyle name="40% - Accent4 2 2 8 3" xfId="21344"/>
    <cellStyle name="40% - Accent4 2 2 9" xfId="9506"/>
    <cellStyle name="40% - Accent4 2 3" xfId="9507"/>
    <cellStyle name="40% - Accent4 2 3 2" xfId="9508"/>
    <cellStyle name="40% - Accent4 2 3 2 2" xfId="9509"/>
    <cellStyle name="40% - Accent4 2 3 2 2 2" xfId="9510"/>
    <cellStyle name="40% - Accent4 2 3 2 2 2 2" xfId="9511"/>
    <cellStyle name="40% - Accent4 2 3 2 2 2 2 2" xfId="9512"/>
    <cellStyle name="40% - Accent4 2 3 2 2 2 2 2 2" xfId="9513"/>
    <cellStyle name="40% - Accent4 2 3 2 2 2 2 2 2 2" xfId="9514"/>
    <cellStyle name="40% - Accent4 2 3 2 2 2 2 2 2 3" xfId="23863"/>
    <cellStyle name="40% - Accent4 2 3 2 2 2 2 2 3" xfId="9515"/>
    <cellStyle name="40% - Accent4 2 3 2 2 2 2 2 4" xfId="21280"/>
    <cellStyle name="40% - Accent4 2 3 2 2 2 2 3" xfId="9516"/>
    <cellStyle name="40% - Accent4 2 3 2 2 2 2 3 2" xfId="9517"/>
    <cellStyle name="40% - Accent4 2 3 2 2 2 2 3 3" xfId="22573"/>
    <cellStyle name="40% - Accent4 2 3 2 2 2 2 4" xfId="9518"/>
    <cellStyle name="40% - Accent4 2 3 2 2 2 2 5" xfId="19986"/>
    <cellStyle name="40% - Accent4 2 3 2 2 2 3" xfId="9519"/>
    <cellStyle name="40% - Accent4 2 3 2 2 2 3 2" xfId="9520"/>
    <cellStyle name="40% - Accent4 2 3 2 2 2 3 2 2" xfId="9521"/>
    <cellStyle name="40% - Accent4 2 3 2 2 2 3 2 3" xfId="23218"/>
    <cellStyle name="40% - Accent4 2 3 2 2 2 3 3" xfId="9522"/>
    <cellStyle name="40% - Accent4 2 3 2 2 2 3 4" xfId="20635"/>
    <cellStyle name="40% - Accent4 2 3 2 2 2 4" xfId="9523"/>
    <cellStyle name="40% - Accent4 2 3 2 2 2 4 2" xfId="9524"/>
    <cellStyle name="40% - Accent4 2 3 2 2 2 4 3" xfId="21928"/>
    <cellStyle name="40% - Accent4 2 3 2 2 2 5" xfId="9525"/>
    <cellStyle name="40% - Accent4 2 3 2 2 2 6" xfId="19338"/>
    <cellStyle name="40% - Accent4 2 3 2 2 3" xfId="9526"/>
    <cellStyle name="40% - Accent4 2 3 2 2 3 2" xfId="9527"/>
    <cellStyle name="40% - Accent4 2 3 2 2 3 2 2" xfId="9528"/>
    <cellStyle name="40% - Accent4 2 3 2 2 3 2 2 2" xfId="9529"/>
    <cellStyle name="40% - Accent4 2 3 2 2 3 2 2 3" xfId="23541"/>
    <cellStyle name="40% - Accent4 2 3 2 2 3 2 3" xfId="9530"/>
    <cellStyle name="40% - Accent4 2 3 2 2 3 2 4" xfId="20958"/>
    <cellStyle name="40% - Accent4 2 3 2 2 3 3" xfId="9531"/>
    <cellStyle name="40% - Accent4 2 3 2 2 3 3 2" xfId="9532"/>
    <cellStyle name="40% - Accent4 2 3 2 2 3 3 3" xfId="22251"/>
    <cellStyle name="40% - Accent4 2 3 2 2 3 4" xfId="9533"/>
    <cellStyle name="40% - Accent4 2 3 2 2 3 5" xfId="19664"/>
    <cellStyle name="40% - Accent4 2 3 2 2 4" xfId="9534"/>
    <cellStyle name="40% - Accent4 2 3 2 2 4 2" xfId="9535"/>
    <cellStyle name="40% - Accent4 2 3 2 2 4 2 2" xfId="9536"/>
    <cellStyle name="40% - Accent4 2 3 2 2 4 2 3" xfId="22896"/>
    <cellStyle name="40% - Accent4 2 3 2 2 4 3" xfId="9537"/>
    <cellStyle name="40% - Accent4 2 3 2 2 4 4" xfId="20313"/>
    <cellStyle name="40% - Accent4 2 3 2 2 5" xfId="9538"/>
    <cellStyle name="40% - Accent4 2 3 2 2 5 2" xfId="9539"/>
    <cellStyle name="40% - Accent4 2 3 2 2 5 3" xfId="21606"/>
    <cellStyle name="40% - Accent4 2 3 2 2 6" xfId="9540"/>
    <cellStyle name="40% - Accent4 2 3 2 2 7" xfId="19012"/>
    <cellStyle name="40% - Accent4 2 3 2 3" xfId="9541"/>
    <cellStyle name="40% - Accent4 2 3 2 3 2" xfId="9542"/>
    <cellStyle name="40% - Accent4 2 3 2 3 2 2" xfId="9543"/>
    <cellStyle name="40% - Accent4 2 3 2 3 2 2 2" xfId="9544"/>
    <cellStyle name="40% - Accent4 2 3 2 3 2 2 2 2" xfId="9545"/>
    <cellStyle name="40% - Accent4 2 3 2 3 2 2 2 3" xfId="23702"/>
    <cellStyle name="40% - Accent4 2 3 2 3 2 2 3" xfId="9546"/>
    <cellStyle name="40% - Accent4 2 3 2 3 2 2 4" xfId="21119"/>
    <cellStyle name="40% - Accent4 2 3 2 3 2 3" xfId="9547"/>
    <cellStyle name="40% - Accent4 2 3 2 3 2 3 2" xfId="9548"/>
    <cellStyle name="40% - Accent4 2 3 2 3 2 3 3" xfId="22412"/>
    <cellStyle name="40% - Accent4 2 3 2 3 2 4" xfId="9549"/>
    <cellStyle name="40% - Accent4 2 3 2 3 2 5" xfId="19825"/>
    <cellStyle name="40% - Accent4 2 3 2 3 3" xfId="9550"/>
    <cellStyle name="40% - Accent4 2 3 2 3 3 2" xfId="9551"/>
    <cellStyle name="40% - Accent4 2 3 2 3 3 2 2" xfId="9552"/>
    <cellStyle name="40% - Accent4 2 3 2 3 3 2 3" xfId="23057"/>
    <cellStyle name="40% - Accent4 2 3 2 3 3 3" xfId="9553"/>
    <cellStyle name="40% - Accent4 2 3 2 3 3 4" xfId="20474"/>
    <cellStyle name="40% - Accent4 2 3 2 3 4" xfId="9554"/>
    <cellStyle name="40% - Accent4 2 3 2 3 4 2" xfId="9555"/>
    <cellStyle name="40% - Accent4 2 3 2 3 4 3" xfId="21767"/>
    <cellStyle name="40% - Accent4 2 3 2 3 5" xfId="9556"/>
    <cellStyle name="40% - Accent4 2 3 2 3 6" xfId="19177"/>
    <cellStyle name="40% - Accent4 2 3 2 4" xfId="9557"/>
    <cellStyle name="40% - Accent4 2 3 2 4 2" xfId="9558"/>
    <cellStyle name="40% - Accent4 2 3 2 4 2 2" xfId="9559"/>
    <cellStyle name="40% - Accent4 2 3 2 4 2 2 2" xfId="9560"/>
    <cellStyle name="40% - Accent4 2 3 2 4 2 2 3" xfId="23380"/>
    <cellStyle name="40% - Accent4 2 3 2 4 2 3" xfId="9561"/>
    <cellStyle name="40% - Accent4 2 3 2 4 2 4" xfId="20797"/>
    <cellStyle name="40% - Accent4 2 3 2 4 3" xfId="9562"/>
    <cellStyle name="40% - Accent4 2 3 2 4 3 2" xfId="9563"/>
    <cellStyle name="40% - Accent4 2 3 2 4 3 3" xfId="22090"/>
    <cellStyle name="40% - Accent4 2 3 2 4 4" xfId="9564"/>
    <cellStyle name="40% - Accent4 2 3 2 4 5" xfId="19503"/>
    <cellStyle name="40% - Accent4 2 3 2 5" xfId="9565"/>
    <cellStyle name="40% - Accent4 2 3 2 5 2" xfId="9566"/>
    <cellStyle name="40% - Accent4 2 3 2 5 2 2" xfId="9567"/>
    <cellStyle name="40% - Accent4 2 3 2 5 2 3" xfId="22735"/>
    <cellStyle name="40% - Accent4 2 3 2 5 3" xfId="9568"/>
    <cellStyle name="40% - Accent4 2 3 2 5 4" xfId="20152"/>
    <cellStyle name="40% - Accent4 2 3 2 6" xfId="9569"/>
    <cellStyle name="40% - Accent4 2 3 2 6 2" xfId="9570"/>
    <cellStyle name="40% - Accent4 2 3 2 6 3" xfId="21445"/>
    <cellStyle name="40% - Accent4 2 3 2 7" xfId="9571"/>
    <cellStyle name="40% - Accent4 2 3 2 8" xfId="18847"/>
    <cellStyle name="40% - Accent4 2 3 3" xfId="9572"/>
    <cellStyle name="40% - Accent4 2 3 3 2" xfId="9573"/>
    <cellStyle name="40% - Accent4 2 3 3 2 2" xfId="9574"/>
    <cellStyle name="40% - Accent4 2 3 3 2 2 2" xfId="9575"/>
    <cellStyle name="40% - Accent4 2 3 3 2 2 2 2" xfId="9576"/>
    <cellStyle name="40% - Accent4 2 3 3 2 2 2 2 2" xfId="9577"/>
    <cellStyle name="40% - Accent4 2 3 3 2 2 2 2 3" xfId="23783"/>
    <cellStyle name="40% - Accent4 2 3 3 2 2 2 3" xfId="9578"/>
    <cellStyle name="40% - Accent4 2 3 3 2 2 2 4" xfId="21200"/>
    <cellStyle name="40% - Accent4 2 3 3 2 2 3" xfId="9579"/>
    <cellStyle name="40% - Accent4 2 3 3 2 2 3 2" xfId="9580"/>
    <cellStyle name="40% - Accent4 2 3 3 2 2 3 3" xfId="22493"/>
    <cellStyle name="40% - Accent4 2 3 3 2 2 4" xfId="9581"/>
    <cellStyle name="40% - Accent4 2 3 3 2 2 5" xfId="19906"/>
    <cellStyle name="40% - Accent4 2 3 3 2 3" xfId="9582"/>
    <cellStyle name="40% - Accent4 2 3 3 2 3 2" xfId="9583"/>
    <cellStyle name="40% - Accent4 2 3 3 2 3 2 2" xfId="9584"/>
    <cellStyle name="40% - Accent4 2 3 3 2 3 2 3" xfId="23138"/>
    <cellStyle name="40% - Accent4 2 3 3 2 3 3" xfId="9585"/>
    <cellStyle name="40% - Accent4 2 3 3 2 3 4" xfId="20555"/>
    <cellStyle name="40% - Accent4 2 3 3 2 4" xfId="9586"/>
    <cellStyle name="40% - Accent4 2 3 3 2 4 2" xfId="9587"/>
    <cellStyle name="40% - Accent4 2 3 3 2 4 3" xfId="21848"/>
    <cellStyle name="40% - Accent4 2 3 3 2 5" xfId="9588"/>
    <cellStyle name="40% - Accent4 2 3 3 2 6" xfId="19258"/>
    <cellStyle name="40% - Accent4 2 3 3 3" xfId="9589"/>
    <cellStyle name="40% - Accent4 2 3 3 3 2" xfId="9590"/>
    <cellStyle name="40% - Accent4 2 3 3 3 2 2" xfId="9591"/>
    <cellStyle name="40% - Accent4 2 3 3 3 2 2 2" xfId="9592"/>
    <cellStyle name="40% - Accent4 2 3 3 3 2 2 3" xfId="23461"/>
    <cellStyle name="40% - Accent4 2 3 3 3 2 3" xfId="9593"/>
    <cellStyle name="40% - Accent4 2 3 3 3 2 4" xfId="20878"/>
    <cellStyle name="40% - Accent4 2 3 3 3 3" xfId="9594"/>
    <cellStyle name="40% - Accent4 2 3 3 3 3 2" xfId="9595"/>
    <cellStyle name="40% - Accent4 2 3 3 3 3 3" xfId="22171"/>
    <cellStyle name="40% - Accent4 2 3 3 3 4" xfId="9596"/>
    <cellStyle name="40% - Accent4 2 3 3 3 5" xfId="19584"/>
    <cellStyle name="40% - Accent4 2 3 3 4" xfId="9597"/>
    <cellStyle name="40% - Accent4 2 3 3 4 2" xfId="9598"/>
    <cellStyle name="40% - Accent4 2 3 3 4 2 2" xfId="9599"/>
    <cellStyle name="40% - Accent4 2 3 3 4 2 3" xfId="22816"/>
    <cellStyle name="40% - Accent4 2 3 3 4 3" xfId="9600"/>
    <cellStyle name="40% - Accent4 2 3 3 4 4" xfId="20233"/>
    <cellStyle name="40% - Accent4 2 3 3 5" xfId="9601"/>
    <cellStyle name="40% - Accent4 2 3 3 5 2" xfId="9602"/>
    <cellStyle name="40% - Accent4 2 3 3 5 3" xfId="21526"/>
    <cellStyle name="40% - Accent4 2 3 3 6" xfId="9603"/>
    <cellStyle name="40% - Accent4 2 3 3 7" xfId="18932"/>
    <cellStyle name="40% - Accent4 2 3 4" xfId="9604"/>
    <cellStyle name="40% - Accent4 2 3 4 2" xfId="9605"/>
    <cellStyle name="40% - Accent4 2 3 4 2 2" xfId="9606"/>
    <cellStyle name="40% - Accent4 2 3 4 2 2 2" xfId="9607"/>
    <cellStyle name="40% - Accent4 2 3 4 2 2 2 2" xfId="9608"/>
    <cellStyle name="40% - Accent4 2 3 4 2 2 2 3" xfId="23622"/>
    <cellStyle name="40% - Accent4 2 3 4 2 2 3" xfId="9609"/>
    <cellStyle name="40% - Accent4 2 3 4 2 2 4" xfId="21039"/>
    <cellStyle name="40% - Accent4 2 3 4 2 3" xfId="9610"/>
    <cellStyle name="40% - Accent4 2 3 4 2 3 2" xfId="9611"/>
    <cellStyle name="40% - Accent4 2 3 4 2 3 3" xfId="22332"/>
    <cellStyle name="40% - Accent4 2 3 4 2 4" xfId="9612"/>
    <cellStyle name="40% - Accent4 2 3 4 2 5" xfId="19745"/>
    <cellStyle name="40% - Accent4 2 3 4 3" xfId="9613"/>
    <cellStyle name="40% - Accent4 2 3 4 3 2" xfId="9614"/>
    <cellStyle name="40% - Accent4 2 3 4 3 2 2" xfId="9615"/>
    <cellStyle name="40% - Accent4 2 3 4 3 2 3" xfId="22977"/>
    <cellStyle name="40% - Accent4 2 3 4 3 3" xfId="9616"/>
    <cellStyle name="40% - Accent4 2 3 4 3 4" xfId="20394"/>
    <cellStyle name="40% - Accent4 2 3 4 4" xfId="9617"/>
    <cellStyle name="40% - Accent4 2 3 4 4 2" xfId="9618"/>
    <cellStyle name="40% - Accent4 2 3 4 4 3" xfId="21687"/>
    <cellStyle name="40% - Accent4 2 3 4 5" xfId="9619"/>
    <cellStyle name="40% - Accent4 2 3 4 6" xfId="19097"/>
    <cellStyle name="40% - Accent4 2 3 5" xfId="9620"/>
    <cellStyle name="40% - Accent4 2 3 5 2" xfId="9621"/>
    <cellStyle name="40% - Accent4 2 3 5 2 2" xfId="9622"/>
    <cellStyle name="40% - Accent4 2 3 5 2 2 2" xfId="9623"/>
    <cellStyle name="40% - Accent4 2 3 5 2 2 3" xfId="23299"/>
    <cellStyle name="40% - Accent4 2 3 5 2 3" xfId="9624"/>
    <cellStyle name="40% - Accent4 2 3 5 2 4" xfId="20716"/>
    <cellStyle name="40% - Accent4 2 3 5 3" xfId="9625"/>
    <cellStyle name="40% - Accent4 2 3 5 3 2" xfId="9626"/>
    <cellStyle name="40% - Accent4 2 3 5 3 3" xfId="22009"/>
    <cellStyle name="40% - Accent4 2 3 5 4" xfId="9627"/>
    <cellStyle name="40% - Accent4 2 3 5 5" xfId="19423"/>
    <cellStyle name="40% - Accent4 2 3 6" xfId="9628"/>
    <cellStyle name="40% - Accent4 2 3 6 2" xfId="9629"/>
    <cellStyle name="40% - Accent4 2 3 6 2 2" xfId="9630"/>
    <cellStyle name="40% - Accent4 2 3 6 2 3" xfId="22654"/>
    <cellStyle name="40% - Accent4 2 3 6 3" xfId="9631"/>
    <cellStyle name="40% - Accent4 2 3 6 4" xfId="20071"/>
    <cellStyle name="40% - Accent4 2 3 7" xfId="9632"/>
    <cellStyle name="40% - Accent4 2 3 7 2" xfId="9633"/>
    <cellStyle name="40% - Accent4 2 3 7 3" xfId="21364"/>
    <cellStyle name="40% - Accent4 2 3 8" xfId="9634"/>
    <cellStyle name="40% - Accent4 2 3 9" xfId="18750"/>
    <cellStyle name="40% - Accent4 2 4" xfId="9635"/>
    <cellStyle name="40% - Accent4 2 4 2" xfId="9636"/>
    <cellStyle name="40% - Accent4 2 4 2 2" xfId="9637"/>
    <cellStyle name="40% - Accent4 2 4 2 2 2" xfId="9638"/>
    <cellStyle name="40% - Accent4 2 4 2 2 2 2" xfId="9639"/>
    <cellStyle name="40% - Accent4 2 4 2 2 2 2 2" xfId="9640"/>
    <cellStyle name="40% - Accent4 2 4 2 2 2 2 2 2" xfId="9641"/>
    <cellStyle name="40% - Accent4 2 4 2 2 2 2 2 3" xfId="23823"/>
    <cellStyle name="40% - Accent4 2 4 2 2 2 2 3" xfId="9642"/>
    <cellStyle name="40% - Accent4 2 4 2 2 2 2 4" xfId="21240"/>
    <cellStyle name="40% - Accent4 2 4 2 2 2 3" xfId="9643"/>
    <cellStyle name="40% - Accent4 2 4 2 2 2 3 2" xfId="9644"/>
    <cellStyle name="40% - Accent4 2 4 2 2 2 3 3" xfId="22533"/>
    <cellStyle name="40% - Accent4 2 4 2 2 2 4" xfId="9645"/>
    <cellStyle name="40% - Accent4 2 4 2 2 2 5" xfId="19946"/>
    <cellStyle name="40% - Accent4 2 4 2 2 3" xfId="9646"/>
    <cellStyle name="40% - Accent4 2 4 2 2 3 2" xfId="9647"/>
    <cellStyle name="40% - Accent4 2 4 2 2 3 2 2" xfId="9648"/>
    <cellStyle name="40% - Accent4 2 4 2 2 3 2 3" xfId="23178"/>
    <cellStyle name="40% - Accent4 2 4 2 2 3 3" xfId="9649"/>
    <cellStyle name="40% - Accent4 2 4 2 2 3 4" xfId="20595"/>
    <cellStyle name="40% - Accent4 2 4 2 2 4" xfId="9650"/>
    <cellStyle name="40% - Accent4 2 4 2 2 4 2" xfId="9651"/>
    <cellStyle name="40% - Accent4 2 4 2 2 4 3" xfId="21888"/>
    <cellStyle name="40% - Accent4 2 4 2 2 5" xfId="9652"/>
    <cellStyle name="40% - Accent4 2 4 2 2 6" xfId="19298"/>
    <cellStyle name="40% - Accent4 2 4 2 3" xfId="9653"/>
    <cellStyle name="40% - Accent4 2 4 2 3 2" xfId="9654"/>
    <cellStyle name="40% - Accent4 2 4 2 3 2 2" xfId="9655"/>
    <cellStyle name="40% - Accent4 2 4 2 3 2 2 2" xfId="9656"/>
    <cellStyle name="40% - Accent4 2 4 2 3 2 2 3" xfId="23501"/>
    <cellStyle name="40% - Accent4 2 4 2 3 2 3" xfId="9657"/>
    <cellStyle name="40% - Accent4 2 4 2 3 2 4" xfId="20918"/>
    <cellStyle name="40% - Accent4 2 4 2 3 3" xfId="9658"/>
    <cellStyle name="40% - Accent4 2 4 2 3 3 2" xfId="9659"/>
    <cellStyle name="40% - Accent4 2 4 2 3 3 3" xfId="22211"/>
    <cellStyle name="40% - Accent4 2 4 2 3 4" xfId="9660"/>
    <cellStyle name="40% - Accent4 2 4 2 3 5" xfId="19624"/>
    <cellStyle name="40% - Accent4 2 4 2 4" xfId="9661"/>
    <cellStyle name="40% - Accent4 2 4 2 4 2" xfId="9662"/>
    <cellStyle name="40% - Accent4 2 4 2 4 2 2" xfId="9663"/>
    <cellStyle name="40% - Accent4 2 4 2 4 2 3" xfId="22856"/>
    <cellStyle name="40% - Accent4 2 4 2 4 3" xfId="9664"/>
    <cellStyle name="40% - Accent4 2 4 2 4 4" xfId="20273"/>
    <cellStyle name="40% - Accent4 2 4 2 5" xfId="9665"/>
    <cellStyle name="40% - Accent4 2 4 2 5 2" xfId="9666"/>
    <cellStyle name="40% - Accent4 2 4 2 5 3" xfId="21566"/>
    <cellStyle name="40% - Accent4 2 4 2 6" xfId="9667"/>
    <cellStyle name="40% - Accent4 2 4 2 7" xfId="18972"/>
    <cellStyle name="40% - Accent4 2 4 3" xfId="9668"/>
    <cellStyle name="40% - Accent4 2 4 3 2" xfId="9669"/>
    <cellStyle name="40% - Accent4 2 4 3 2 2" xfId="9670"/>
    <cellStyle name="40% - Accent4 2 4 3 2 2 2" xfId="9671"/>
    <cellStyle name="40% - Accent4 2 4 3 2 2 2 2" xfId="9672"/>
    <cellStyle name="40% - Accent4 2 4 3 2 2 2 3" xfId="23662"/>
    <cellStyle name="40% - Accent4 2 4 3 2 2 3" xfId="9673"/>
    <cellStyle name="40% - Accent4 2 4 3 2 2 4" xfId="21079"/>
    <cellStyle name="40% - Accent4 2 4 3 2 3" xfId="9674"/>
    <cellStyle name="40% - Accent4 2 4 3 2 3 2" xfId="9675"/>
    <cellStyle name="40% - Accent4 2 4 3 2 3 3" xfId="22372"/>
    <cellStyle name="40% - Accent4 2 4 3 2 4" xfId="9676"/>
    <cellStyle name="40% - Accent4 2 4 3 2 5" xfId="19785"/>
    <cellStyle name="40% - Accent4 2 4 3 3" xfId="9677"/>
    <cellStyle name="40% - Accent4 2 4 3 3 2" xfId="9678"/>
    <cellStyle name="40% - Accent4 2 4 3 3 2 2" xfId="9679"/>
    <cellStyle name="40% - Accent4 2 4 3 3 2 3" xfId="23017"/>
    <cellStyle name="40% - Accent4 2 4 3 3 3" xfId="9680"/>
    <cellStyle name="40% - Accent4 2 4 3 3 4" xfId="20434"/>
    <cellStyle name="40% - Accent4 2 4 3 4" xfId="9681"/>
    <cellStyle name="40% - Accent4 2 4 3 4 2" xfId="9682"/>
    <cellStyle name="40% - Accent4 2 4 3 4 3" xfId="21727"/>
    <cellStyle name="40% - Accent4 2 4 3 5" xfId="9683"/>
    <cellStyle name="40% - Accent4 2 4 3 6" xfId="19137"/>
    <cellStyle name="40% - Accent4 2 4 4" xfId="9684"/>
    <cellStyle name="40% - Accent4 2 4 4 2" xfId="9685"/>
    <cellStyle name="40% - Accent4 2 4 4 2 2" xfId="9686"/>
    <cellStyle name="40% - Accent4 2 4 4 2 2 2" xfId="9687"/>
    <cellStyle name="40% - Accent4 2 4 4 2 2 3" xfId="23340"/>
    <cellStyle name="40% - Accent4 2 4 4 2 3" xfId="9688"/>
    <cellStyle name="40% - Accent4 2 4 4 2 4" xfId="20757"/>
    <cellStyle name="40% - Accent4 2 4 4 3" xfId="9689"/>
    <cellStyle name="40% - Accent4 2 4 4 3 2" xfId="9690"/>
    <cellStyle name="40% - Accent4 2 4 4 3 3" xfId="22050"/>
    <cellStyle name="40% - Accent4 2 4 4 4" xfId="9691"/>
    <cellStyle name="40% - Accent4 2 4 4 5" xfId="19463"/>
    <cellStyle name="40% - Accent4 2 4 5" xfId="9692"/>
    <cellStyle name="40% - Accent4 2 4 5 2" xfId="9693"/>
    <cellStyle name="40% - Accent4 2 4 5 2 2" xfId="9694"/>
    <cellStyle name="40% - Accent4 2 4 5 2 3" xfId="22695"/>
    <cellStyle name="40% - Accent4 2 4 5 3" xfId="9695"/>
    <cellStyle name="40% - Accent4 2 4 5 4" xfId="20112"/>
    <cellStyle name="40% - Accent4 2 4 6" xfId="9696"/>
    <cellStyle name="40% - Accent4 2 4 6 2" xfId="9697"/>
    <cellStyle name="40% - Accent4 2 4 6 3" xfId="21405"/>
    <cellStyle name="40% - Accent4 2 4 7" xfId="9698"/>
    <cellStyle name="40% - Accent4 2 4 8" xfId="18804"/>
    <cellStyle name="40% - Accent4 2 5" xfId="9699"/>
    <cellStyle name="40% - Accent4 2 5 2" xfId="9700"/>
    <cellStyle name="40% - Accent4 2 5 2 2" xfId="9701"/>
    <cellStyle name="40% - Accent4 2 5 2 2 2" xfId="9702"/>
    <cellStyle name="40% - Accent4 2 5 2 2 2 2" xfId="9703"/>
    <cellStyle name="40% - Accent4 2 5 2 2 2 2 2" xfId="9704"/>
    <cellStyle name="40% - Accent4 2 5 2 2 2 2 3" xfId="23743"/>
    <cellStyle name="40% - Accent4 2 5 2 2 2 3" xfId="9705"/>
    <cellStyle name="40% - Accent4 2 5 2 2 2 4" xfId="21160"/>
    <cellStyle name="40% - Accent4 2 5 2 2 3" xfId="9706"/>
    <cellStyle name="40% - Accent4 2 5 2 2 3 2" xfId="9707"/>
    <cellStyle name="40% - Accent4 2 5 2 2 3 3" xfId="22453"/>
    <cellStyle name="40% - Accent4 2 5 2 2 4" xfId="9708"/>
    <cellStyle name="40% - Accent4 2 5 2 2 5" xfId="19866"/>
    <cellStyle name="40% - Accent4 2 5 2 3" xfId="9709"/>
    <cellStyle name="40% - Accent4 2 5 2 3 2" xfId="9710"/>
    <cellStyle name="40% - Accent4 2 5 2 3 2 2" xfId="9711"/>
    <cellStyle name="40% - Accent4 2 5 2 3 2 3" xfId="23098"/>
    <cellStyle name="40% - Accent4 2 5 2 3 3" xfId="9712"/>
    <cellStyle name="40% - Accent4 2 5 2 3 4" xfId="20515"/>
    <cellStyle name="40% - Accent4 2 5 2 4" xfId="9713"/>
    <cellStyle name="40% - Accent4 2 5 2 4 2" xfId="9714"/>
    <cellStyle name="40% - Accent4 2 5 2 4 3" xfId="21808"/>
    <cellStyle name="40% - Accent4 2 5 2 5" xfId="9715"/>
    <cellStyle name="40% - Accent4 2 5 2 6" xfId="19218"/>
    <cellStyle name="40% - Accent4 2 5 3" xfId="9716"/>
    <cellStyle name="40% - Accent4 2 5 3 2" xfId="9717"/>
    <cellStyle name="40% - Accent4 2 5 3 2 2" xfId="9718"/>
    <cellStyle name="40% - Accent4 2 5 3 2 2 2" xfId="9719"/>
    <cellStyle name="40% - Accent4 2 5 3 2 2 3" xfId="23421"/>
    <cellStyle name="40% - Accent4 2 5 3 2 3" xfId="9720"/>
    <cellStyle name="40% - Accent4 2 5 3 2 4" xfId="20838"/>
    <cellStyle name="40% - Accent4 2 5 3 3" xfId="9721"/>
    <cellStyle name="40% - Accent4 2 5 3 3 2" xfId="9722"/>
    <cellStyle name="40% - Accent4 2 5 3 3 3" xfId="22131"/>
    <cellStyle name="40% - Accent4 2 5 3 4" xfId="9723"/>
    <cellStyle name="40% - Accent4 2 5 3 5" xfId="19544"/>
    <cellStyle name="40% - Accent4 2 5 4" xfId="9724"/>
    <cellStyle name="40% - Accent4 2 5 4 2" xfId="9725"/>
    <cellStyle name="40% - Accent4 2 5 4 2 2" xfId="9726"/>
    <cellStyle name="40% - Accent4 2 5 4 2 3" xfId="22776"/>
    <cellStyle name="40% - Accent4 2 5 4 3" xfId="9727"/>
    <cellStyle name="40% - Accent4 2 5 4 4" xfId="20193"/>
    <cellStyle name="40% - Accent4 2 5 5" xfId="9728"/>
    <cellStyle name="40% - Accent4 2 5 5 2" xfId="9729"/>
    <cellStyle name="40% - Accent4 2 5 5 3" xfId="21486"/>
    <cellStyle name="40% - Accent4 2 5 6" xfId="9730"/>
    <cellStyle name="40% - Accent4 2 5 7" xfId="18892"/>
    <cellStyle name="40% - Accent4 2 6" xfId="9731"/>
    <cellStyle name="40% - Accent4 2 6 2" xfId="9732"/>
    <cellStyle name="40% - Accent4 2 6 2 2" xfId="9733"/>
    <cellStyle name="40% - Accent4 2 6 2 2 2" xfId="9734"/>
    <cellStyle name="40% - Accent4 2 6 2 2 2 2" xfId="9735"/>
    <cellStyle name="40% - Accent4 2 6 2 2 2 3" xfId="23582"/>
    <cellStyle name="40% - Accent4 2 6 2 2 3" xfId="9736"/>
    <cellStyle name="40% - Accent4 2 6 2 2 4" xfId="20999"/>
    <cellStyle name="40% - Accent4 2 6 2 3" xfId="9737"/>
    <cellStyle name="40% - Accent4 2 6 2 3 2" xfId="9738"/>
    <cellStyle name="40% - Accent4 2 6 2 3 3" xfId="22292"/>
    <cellStyle name="40% - Accent4 2 6 2 4" xfId="9739"/>
    <cellStyle name="40% - Accent4 2 6 2 5" xfId="19705"/>
    <cellStyle name="40% - Accent4 2 6 3" xfId="9740"/>
    <cellStyle name="40% - Accent4 2 6 3 2" xfId="9741"/>
    <cellStyle name="40% - Accent4 2 6 3 2 2" xfId="9742"/>
    <cellStyle name="40% - Accent4 2 6 3 2 3" xfId="22937"/>
    <cellStyle name="40% - Accent4 2 6 3 3" xfId="9743"/>
    <cellStyle name="40% - Accent4 2 6 3 4" xfId="20354"/>
    <cellStyle name="40% - Accent4 2 6 4" xfId="9744"/>
    <cellStyle name="40% - Accent4 2 6 4 2" xfId="9745"/>
    <cellStyle name="40% - Accent4 2 6 4 3" xfId="21647"/>
    <cellStyle name="40% - Accent4 2 6 5" xfId="9746"/>
    <cellStyle name="40% - Accent4 2 6 6" xfId="19057"/>
    <cellStyle name="40% - Accent4 2 7" xfId="9747"/>
    <cellStyle name="40% - Accent4 2 7 2" xfId="9748"/>
    <cellStyle name="40% - Accent4 2 7 2 2" xfId="9749"/>
    <cellStyle name="40% - Accent4 2 7 2 2 2" xfId="9750"/>
    <cellStyle name="40% - Accent4 2 7 2 2 3" xfId="23259"/>
    <cellStyle name="40% - Accent4 2 7 2 3" xfId="9751"/>
    <cellStyle name="40% - Accent4 2 7 2 4" xfId="20676"/>
    <cellStyle name="40% - Accent4 2 7 3" xfId="9752"/>
    <cellStyle name="40% - Accent4 2 7 3 2" xfId="9753"/>
    <cellStyle name="40% - Accent4 2 7 3 3" xfId="21969"/>
    <cellStyle name="40% - Accent4 2 7 4" xfId="9754"/>
    <cellStyle name="40% - Accent4 2 7 5" xfId="19383"/>
    <cellStyle name="40% - Accent4 2 8" xfId="9755"/>
    <cellStyle name="40% - Accent4 2 8 2" xfId="9756"/>
    <cellStyle name="40% - Accent4 2 8 2 2" xfId="9757"/>
    <cellStyle name="40% - Accent4 2 8 2 3" xfId="22614"/>
    <cellStyle name="40% - Accent4 2 8 3" xfId="9758"/>
    <cellStyle name="40% - Accent4 2 8 4" xfId="20031"/>
    <cellStyle name="40% - Accent4 2 9" xfId="9759"/>
    <cellStyle name="40% - Accent4 2 9 2" xfId="9760"/>
    <cellStyle name="40% - Accent4 2 9 3" xfId="21324"/>
    <cellStyle name="40% - Accent4 3" xfId="9761"/>
    <cellStyle name="40% - Accent4 3 10" xfId="18712"/>
    <cellStyle name="40% - Accent4 3 2" xfId="9762"/>
    <cellStyle name="40% - Accent4 3 2 2" xfId="9763"/>
    <cellStyle name="40% - Accent4 3 2 2 2" xfId="9764"/>
    <cellStyle name="40% - Accent4 3 2 2 2 2" xfId="9765"/>
    <cellStyle name="40% - Accent4 3 2 2 2 2 2" xfId="9766"/>
    <cellStyle name="40% - Accent4 3 2 2 2 2 2 2" xfId="9767"/>
    <cellStyle name="40% - Accent4 3 2 2 2 2 2 2 2" xfId="9768"/>
    <cellStyle name="40% - Accent4 3 2 2 2 2 2 2 2 2" xfId="9769"/>
    <cellStyle name="40% - Accent4 3 2 2 2 2 2 2 2 3" xfId="23873"/>
    <cellStyle name="40% - Accent4 3 2 2 2 2 2 2 3" xfId="9770"/>
    <cellStyle name="40% - Accent4 3 2 2 2 2 2 2 4" xfId="21290"/>
    <cellStyle name="40% - Accent4 3 2 2 2 2 2 3" xfId="9771"/>
    <cellStyle name="40% - Accent4 3 2 2 2 2 2 3 2" xfId="9772"/>
    <cellStyle name="40% - Accent4 3 2 2 2 2 2 3 3" xfId="22583"/>
    <cellStyle name="40% - Accent4 3 2 2 2 2 2 4" xfId="9773"/>
    <cellStyle name="40% - Accent4 3 2 2 2 2 2 5" xfId="19996"/>
    <cellStyle name="40% - Accent4 3 2 2 2 2 3" xfId="9774"/>
    <cellStyle name="40% - Accent4 3 2 2 2 2 3 2" xfId="9775"/>
    <cellStyle name="40% - Accent4 3 2 2 2 2 3 2 2" xfId="9776"/>
    <cellStyle name="40% - Accent4 3 2 2 2 2 3 2 3" xfId="23228"/>
    <cellStyle name="40% - Accent4 3 2 2 2 2 3 3" xfId="9777"/>
    <cellStyle name="40% - Accent4 3 2 2 2 2 3 4" xfId="20645"/>
    <cellStyle name="40% - Accent4 3 2 2 2 2 4" xfId="9778"/>
    <cellStyle name="40% - Accent4 3 2 2 2 2 4 2" xfId="9779"/>
    <cellStyle name="40% - Accent4 3 2 2 2 2 4 3" xfId="21938"/>
    <cellStyle name="40% - Accent4 3 2 2 2 2 5" xfId="9780"/>
    <cellStyle name="40% - Accent4 3 2 2 2 2 6" xfId="19348"/>
    <cellStyle name="40% - Accent4 3 2 2 2 3" xfId="9781"/>
    <cellStyle name="40% - Accent4 3 2 2 2 3 2" xfId="9782"/>
    <cellStyle name="40% - Accent4 3 2 2 2 3 2 2" xfId="9783"/>
    <cellStyle name="40% - Accent4 3 2 2 2 3 2 2 2" xfId="9784"/>
    <cellStyle name="40% - Accent4 3 2 2 2 3 2 2 3" xfId="23551"/>
    <cellStyle name="40% - Accent4 3 2 2 2 3 2 3" xfId="9785"/>
    <cellStyle name="40% - Accent4 3 2 2 2 3 2 4" xfId="20968"/>
    <cellStyle name="40% - Accent4 3 2 2 2 3 3" xfId="9786"/>
    <cellStyle name="40% - Accent4 3 2 2 2 3 3 2" xfId="9787"/>
    <cellStyle name="40% - Accent4 3 2 2 2 3 3 3" xfId="22261"/>
    <cellStyle name="40% - Accent4 3 2 2 2 3 4" xfId="9788"/>
    <cellStyle name="40% - Accent4 3 2 2 2 3 5" xfId="19674"/>
    <cellStyle name="40% - Accent4 3 2 2 2 4" xfId="9789"/>
    <cellStyle name="40% - Accent4 3 2 2 2 4 2" xfId="9790"/>
    <cellStyle name="40% - Accent4 3 2 2 2 4 2 2" xfId="9791"/>
    <cellStyle name="40% - Accent4 3 2 2 2 4 2 3" xfId="22906"/>
    <cellStyle name="40% - Accent4 3 2 2 2 4 3" xfId="9792"/>
    <cellStyle name="40% - Accent4 3 2 2 2 4 4" xfId="20323"/>
    <cellStyle name="40% - Accent4 3 2 2 2 5" xfId="9793"/>
    <cellStyle name="40% - Accent4 3 2 2 2 5 2" xfId="9794"/>
    <cellStyle name="40% - Accent4 3 2 2 2 5 3" xfId="21616"/>
    <cellStyle name="40% - Accent4 3 2 2 2 6" xfId="9795"/>
    <cellStyle name="40% - Accent4 3 2 2 2 7" xfId="19022"/>
    <cellStyle name="40% - Accent4 3 2 2 3" xfId="9796"/>
    <cellStyle name="40% - Accent4 3 2 2 3 2" xfId="9797"/>
    <cellStyle name="40% - Accent4 3 2 2 3 2 2" xfId="9798"/>
    <cellStyle name="40% - Accent4 3 2 2 3 2 2 2" xfId="9799"/>
    <cellStyle name="40% - Accent4 3 2 2 3 2 2 2 2" xfId="9800"/>
    <cellStyle name="40% - Accent4 3 2 2 3 2 2 2 3" xfId="23712"/>
    <cellStyle name="40% - Accent4 3 2 2 3 2 2 3" xfId="9801"/>
    <cellStyle name="40% - Accent4 3 2 2 3 2 2 4" xfId="21129"/>
    <cellStyle name="40% - Accent4 3 2 2 3 2 3" xfId="9802"/>
    <cellStyle name="40% - Accent4 3 2 2 3 2 3 2" xfId="9803"/>
    <cellStyle name="40% - Accent4 3 2 2 3 2 3 3" xfId="22422"/>
    <cellStyle name="40% - Accent4 3 2 2 3 2 4" xfId="9804"/>
    <cellStyle name="40% - Accent4 3 2 2 3 2 5" xfId="19835"/>
    <cellStyle name="40% - Accent4 3 2 2 3 3" xfId="9805"/>
    <cellStyle name="40% - Accent4 3 2 2 3 3 2" xfId="9806"/>
    <cellStyle name="40% - Accent4 3 2 2 3 3 2 2" xfId="9807"/>
    <cellStyle name="40% - Accent4 3 2 2 3 3 2 3" xfId="23067"/>
    <cellStyle name="40% - Accent4 3 2 2 3 3 3" xfId="9808"/>
    <cellStyle name="40% - Accent4 3 2 2 3 3 4" xfId="20484"/>
    <cellStyle name="40% - Accent4 3 2 2 3 4" xfId="9809"/>
    <cellStyle name="40% - Accent4 3 2 2 3 4 2" xfId="9810"/>
    <cellStyle name="40% - Accent4 3 2 2 3 4 3" xfId="21777"/>
    <cellStyle name="40% - Accent4 3 2 2 3 5" xfId="9811"/>
    <cellStyle name="40% - Accent4 3 2 2 3 6" xfId="19187"/>
    <cellStyle name="40% - Accent4 3 2 2 4" xfId="9812"/>
    <cellStyle name="40% - Accent4 3 2 2 4 2" xfId="9813"/>
    <cellStyle name="40% - Accent4 3 2 2 4 2 2" xfId="9814"/>
    <cellStyle name="40% - Accent4 3 2 2 4 2 2 2" xfId="9815"/>
    <cellStyle name="40% - Accent4 3 2 2 4 2 2 3" xfId="23390"/>
    <cellStyle name="40% - Accent4 3 2 2 4 2 3" xfId="9816"/>
    <cellStyle name="40% - Accent4 3 2 2 4 2 4" xfId="20807"/>
    <cellStyle name="40% - Accent4 3 2 2 4 3" xfId="9817"/>
    <cellStyle name="40% - Accent4 3 2 2 4 3 2" xfId="9818"/>
    <cellStyle name="40% - Accent4 3 2 2 4 3 3" xfId="22100"/>
    <cellStyle name="40% - Accent4 3 2 2 4 4" xfId="9819"/>
    <cellStyle name="40% - Accent4 3 2 2 4 5" xfId="19513"/>
    <cellStyle name="40% - Accent4 3 2 2 5" xfId="9820"/>
    <cellStyle name="40% - Accent4 3 2 2 5 2" xfId="9821"/>
    <cellStyle name="40% - Accent4 3 2 2 5 2 2" xfId="9822"/>
    <cellStyle name="40% - Accent4 3 2 2 5 2 3" xfId="22745"/>
    <cellStyle name="40% - Accent4 3 2 2 5 3" xfId="9823"/>
    <cellStyle name="40% - Accent4 3 2 2 5 4" xfId="20162"/>
    <cellStyle name="40% - Accent4 3 2 2 6" xfId="9824"/>
    <cellStyle name="40% - Accent4 3 2 2 6 2" xfId="9825"/>
    <cellStyle name="40% - Accent4 3 2 2 6 3" xfId="21455"/>
    <cellStyle name="40% - Accent4 3 2 2 7" xfId="9826"/>
    <cellStyle name="40% - Accent4 3 2 2 8" xfId="18857"/>
    <cellStyle name="40% - Accent4 3 2 3" xfId="9827"/>
    <cellStyle name="40% - Accent4 3 2 3 2" xfId="9828"/>
    <cellStyle name="40% - Accent4 3 2 3 2 2" xfId="9829"/>
    <cellStyle name="40% - Accent4 3 2 3 2 2 2" xfId="9830"/>
    <cellStyle name="40% - Accent4 3 2 3 2 2 2 2" xfId="9831"/>
    <cellStyle name="40% - Accent4 3 2 3 2 2 2 2 2" xfId="9832"/>
    <cellStyle name="40% - Accent4 3 2 3 2 2 2 2 3" xfId="23793"/>
    <cellStyle name="40% - Accent4 3 2 3 2 2 2 3" xfId="9833"/>
    <cellStyle name="40% - Accent4 3 2 3 2 2 2 4" xfId="21210"/>
    <cellStyle name="40% - Accent4 3 2 3 2 2 3" xfId="9834"/>
    <cellStyle name="40% - Accent4 3 2 3 2 2 3 2" xfId="9835"/>
    <cellStyle name="40% - Accent4 3 2 3 2 2 3 3" xfId="22503"/>
    <cellStyle name="40% - Accent4 3 2 3 2 2 4" xfId="9836"/>
    <cellStyle name="40% - Accent4 3 2 3 2 2 5" xfId="19916"/>
    <cellStyle name="40% - Accent4 3 2 3 2 3" xfId="9837"/>
    <cellStyle name="40% - Accent4 3 2 3 2 3 2" xfId="9838"/>
    <cellStyle name="40% - Accent4 3 2 3 2 3 2 2" xfId="9839"/>
    <cellStyle name="40% - Accent4 3 2 3 2 3 2 3" xfId="23148"/>
    <cellStyle name="40% - Accent4 3 2 3 2 3 3" xfId="9840"/>
    <cellStyle name="40% - Accent4 3 2 3 2 3 4" xfId="20565"/>
    <cellStyle name="40% - Accent4 3 2 3 2 4" xfId="9841"/>
    <cellStyle name="40% - Accent4 3 2 3 2 4 2" xfId="9842"/>
    <cellStyle name="40% - Accent4 3 2 3 2 4 3" xfId="21858"/>
    <cellStyle name="40% - Accent4 3 2 3 2 5" xfId="9843"/>
    <cellStyle name="40% - Accent4 3 2 3 2 6" xfId="19268"/>
    <cellStyle name="40% - Accent4 3 2 3 3" xfId="9844"/>
    <cellStyle name="40% - Accent4 3 2 3 3 2" xfId="9845"/>
    <cellStyle name="40% - Accent4 3 2 3 3 2 2" xfId="9846"/>
    <cellStyle name="40% - Accent4 3 2 3 3 2 2 2" xfId="9847"/>
    <cellStyle name="40% - Accent4 3 2 3 3 2 2 3" xfId="23471"/>
    <cellStyle name="40% - Accent4 3 2 3 3 2 3" xfId="9848"/>
    <cellStyle name="40% - Accent4 3 2 3 3 2 4" xfId="20888"/>
    <cellStyle name="40% - Accent4 3 2 3 3 3" xfId="9849"/>
    <cellStyle name="40% - Accent4 3 2 3 3 3 2" xfId="9850"/>
    <cellStyle name="40% - Accent4 3 2 3 3 3 3" xfId="22181"/>
    <cellStyle name="40% - Accent4 3 2 3 3 4" xfId="9851"/>
    <cellStyle name="40% - Accent4 3 2 3 3 5" xfId="19594"/>
    <cellStyle name="40% - Accent4 3 2 3 4" xfId="9852"/>
    <cellStyle name="40% - Accent4 3 2 3 4 2" xfId="9853"/>
    <cellStyle name="40% - Accent4 3 2 3 4 2 2" xfId="9854"/>
    <cellStyle name="40% - Accent4 3 2 3 4 2 3" xfId="22826"/>
    <cellStyle name="40% - Accent4 3 2 3 4 3" xfId="9855"/>
    <cellStyle name="40% - Accent4 3 2 3 4 4" xfId="20243"/>
    <cellStyle name="40% - Accent4 3 2 3 5" xfId="9856"/>
    <cellStyle name="40% - Accent4 3 2 3 5 2" xfId="9857"/>
    <cellStyle name="40% - Accent4 3 2 3 5 3" xfId="21536"/>
    <cellStyle name="40% - Accent4 3 2 3 6" xfId="9858"/>
    <cellStyle name="40% - Accent4 3 2 3 7" xfId="18942"/>
    <cellStyle name="40% - Accent4 3 2 4" xfId="9859"/>
    <cellStyle name="40% - Accent4 3 2 4 2" xfId="9860"/>
    <cellStyle name="40% - Accent4 3 2 4 2 2" xfId="9861"/>
    <cellStyle name="40% - Accent4 3 2 4 2 2 2" xfId="9862"/>
    <cellStyle name="40% - Accent4 3 2 4 2 2 2 2" xfId="9863"/>
    <cellStyle name="40% - Accent4 3 2 4 2 2 2 3" xfId="23632"/>
    <cellStyle name="40% - Accent4 3 2 4 2 2 3" xfId="9864"/>
    <cellStyle name="40% - Accent4 3 2 4 2 2 4" xfId="21049"/>
    <cellStyle name="40% - Accent4 3 2 4 2 3" xfId="9865"/>
    <cellStyle name="40% - Accent4 3 2 4 2 3 2" xfId="9866"/>
    <cellStyle name="40% - Accent4 3 2 4 2 3 3" xfId="22342"/>
    <cellStyle name="40% - Accent4 3 2 4 2 4" xfId="9867"/>
    <cellStyle name="40% - Accent4 3 2 4 2 5" xfId="19755"/>
    <cellStyle name="40% - Accent4 3 2 4 3" xfId="9868"/>
    <cellStyle name="40% - Accent4 3 2 4 3 2" xfId="9869"/>
    <cellStyle name="40% - Accent4 3 2 4 3 2 2" xfId="9870"/>
    <cellStyle name="40% - Accent4 3 2 4 3 2 3" xfId="22987"/>
    <cellStyle name="40% - Accent4 3 2 4 3 3" xfId="9871"/>
    <cellStyle name="40% - Accent4 3 2 4 3 4" xfId="20404"/>
    <cellStyle name="40% - Accent4 3 2 4 4" xfId="9872"/>
    <cellStyle name="40% - Accent4 3 2 4 4 2" xfId="9873"/>
    <cellStyle name="40% - Accent4 3 2 4 4 3" xfId="21697"/>
    <cellStyle name="40% - Accent4 3 2 4 5" xfId="9874"/>
    <cellStyle name="40% - Accent4 3 2 4 6" xfId="19107"/>
    <cellStyle name="40% - Accent4 3 2 5" xfId="9875"/>
    <cellStyle name="40% - Accent4 3 2 5 2" xfId="9876"/>
    <cellStyle name="40% - Accent4 3 2 5 2 2" xfId="9877"/>
    <cellStyle name="40% - Accent4 3 2 5 2 2 2" xfId="9878"/>
    <cellStyle name="40% - Accent4 3 2 5 2 2 3" xfId="23309"/>
    <cellStyle name="40% - Accent4 3 2 5 2 3" xfId="9879"/>
    <cellStyle name="40% - Accent4 3 2 5 2 4" xfId="20726"/>
    <cellStyle name="40% - Accent4 3 2 5 3" xfId="9880"/>
    <cellStyle name="40% - Accent4 3 2 5 3 2" xfId="9881"/>
    <cellStyle name="40% - Accent4 3 2 5 3 3" xfId="22019"/>
    <cellStyle name="40% - Accent4 3 2 5 4" xfId="9882"/>
    <cellStyle name="40% - Accent4 3 2 5 5" xfId="19433"/>
    <cellStyle name="40% - Accent4 3 2 6" xfId="9883"/>
    <cellStyle name="40% - Accent4 3 2 6 2" xfId="9884"/>
    <cellStyle name="40% - Accent4 3 2 6 2 2" xfId="9885"/>
    <cellStyle name="40% - Accent4 3 2 6 2 3" xfId="22664"/>
    <cellStyle name="40% - Accent4 3 2 6 3" xfId="9886"/>
    <cellStyle name="40% - Accent4 3 2 6 4" xfId="20081"/>
    <cellStyle name="40% - Accent4 3 2 7" xfId="9887"/>
    <cellStyle name="40% - Accent4 3 2 7 2" xfId="9888"/>
    <cellStyle name="40% - Accent4 3 2 7 3" xfId="21374"/>
    <cellStyle name="40% - Accent4 3 2 8" xfId="9889"/>
    <cellStyle name="40% - Accent4 3 2 9" xfId="18760"/>
    <cellStyle name="40% - Accent4 3 3" xfId="9890"/>
    <cellStyle name="40% - Accent4 3 3 2" xfId="9891"/>
    <cellStyle name="40% - Accent4 3 3 2 2" xfId="9892"/>
    <cellStyle name="40% - Accent4 3 3 2 2 2" xfId="9893"/>
    <cellStyle name="40% - Accent4 3 3 2 2 2 2" xfId="9894"/>
    <cellStyle name="40% - Accent4 3 3 2 2 2 2 2" xfId="9895"/>
    <cellStyle name="40% - Accent4 3 3 2 2 2 2 2 2" xfId="9896"/>
    <cellStyle name="40% - Accent4 3 3 2 2 2 2 2 3" xfId="23833"/>
    <cellStyle name="40% - Accent4 3 3 2 2 2 2 3" xfId="9897"/>
    <cellStyle name="40% - Accent4 3 3 2 2 2 2 4" xfId="21250"/>
    <cellStyle name="40% - Accent4 3 3 2 2 2 3" xfId="9898"/>
    <cellStyle name="40% - Accent4 3 3 2 2 2 3 2" xfId="9899"/>
    <cellStyle name="40% - Accent4 3 3 2 2 2 3 3" xfId="22543"/>
    <cellStyle name="40% - Accent4 3 3 2 2 2 4" xfId="9900"/>
    <cellStyle name="40% - Accent4 3 3 2 2 2 5" xfId="19956"/>
    <cellStyle name="40% - Accent4 3 3 2 2 3" xfId="9901"/>
    <cellStyle name="40% - Accent4 3 3 2 2 3 2" xfId="9902"/>
    <cellStyle name="40% - Accent4 3 3 2 2 3 2 2" xfId="9903"/>
    <cellStyle name="40% - Accent4 3 3 2 2 3 2 3" xfId="23188"/>
    <cellStyle name="40% - Accent4 3 3 2 2 3 3" xfId="9904"/>
    <cellStyle name="40% - Accent4 3 3 2 2 3 4" xfId="20605"/>
    <cellStyle name="40% - Accent4 3 3 2 2 4" xfId="9905"/>
    <cellStyle name="40% - Accent4 3 3 2 2 4 2" xfId="9906"/>
    <cellStyle name="40% - Accent4 3 3 2 2 4 3" xfId="21898"/>
    <cellStyle name="40% - Accent4 3 3 2 2 5" xfId="9907"/>
    <cellStyle name="40% - Accent4 3 3 2 2 6" xfId="19308"/>
    <cellStyle name="40% - Accent4 3 3 2 3" xfId="9908"/>
    <cellStyle name="40% - Accent4 3 3 2 3 2" xfId="9909"/>
    <cellStyle name="40% - Accent4 3 3 2 3 2 2" xfId="9910"/>
    <cellStyle name="40% - Accent4 3 3 2 3 2 2 2" xfId="9911"/>
    <cellStyle name="40% - Accent4 3 3 2 3 2 2 3" xfId="23511"/>
    <cellStyle name="40% - Accent4 3 3 2 3 2 3" xfId="9912"/>
    <cellStyle name="40% - Accent4 3 3 2 3 2 4" xfId="20928"/>
    <cellStyle name="40% - Accent4 3 3 2 3 3" xfId="9913"/>
    <cellStyle name="40% - Accent4 3 3 2 3 3 2" xfId="9914"/>
    <cellStyle name="40% - Accent4 3 3 2 3 3 3" xfId="22221"/>
    <cellStyle name="40% - Accent4 3 3 2 3 4" xfId="9915"/>
    <cellStyle name="40% - Accent4 3 3 2 3 5" xfId="19634"/>
    <cellStyle name="40% - Accent4 3 3 2 4" xfId="9916"/>
    <cellStyle name="40% - Accent4 3 3 2 4 2" xfId="9917"/>
    <cellStyle name="40% - Accent4 3 3 2 4 2 2" xfId="9918"/>
    <cellStyle name="40% - Accent4 3 3 2 4 2 3" xfId="22866"/>
    <cellStyle name="40% - Accent4 3 3 2 4 3" xfId="9919"/>
    <cellStyle name="40% - Accent4 3 3 2 4 4" xfId="20283"/>
    <cellStyle name="40% - Accent4 3 3 2 5" xfId="9920"/>
    <cellStyle name="40% - Accent4 3 3 2 5 2" xfId="9921"/>
    <cellStyle name="40% - Accent4 3 3 2 5 3" xfId="21576"/>
    <cellStyle name="40% - Accent4 3 3 2 6" xfId="9922"/>
    <cellStyle name="40% - Accent4 3 3 2 7" xfId="18982"/>
    <cellStyle name="40% - Accent4 3 3 3" xfId="9923"/>
    <cellStyle name="40% - Accent4 3 3 3 2" xfId="9924"/>
    <cellStyle name="40% - Accent4 3 3 3 2 2" xfId="9925"/>
    <cellStyle name="40% - Accent4 3 3 3 2 2 2" xfId="9926"/>
    <cellStyle name="40% - Accent4 3 3 3 2 2 2 2" xfId="9927"/>
    <cellStyle name="40% - Accent4 3 3 3 2 2 2 3" xfId="23672"/>
    <cellStyle name="40% - Accent4 3 3 3 2 2 3" xfId="9928"/>
    <cellStyle name="40% - Accent4 3 3 3 2 2 4" xfId="21089"/>
    <cellStyle name="40% - Accent4 3 3 3 2 3" xfId="9929"/>
    <cellStyle name="40% - Accent4 3 3 3 2 3 2" xfId="9930"/>
    <cellStyle name="40% - Accent4 3 3 3 2 3 3" xfId="22382"/>
    <cellStyle name="40% - Accent4 3 3 3 2 4" xfId="9931"/>
    <cellStyle name="40% - Accent4 3 3 3 2 5" xfId="19795"/>
    <cellStyle name="40% - Accent4 3 3 3 3" xfId="9932"/>
    <cellStyle name="40% - Accent4 3 3 3 3 2" xfId="9933"/>
    <cellStyle name="40% - Accent4 3 3 3 3 2 2" xfId="9934"/>
    <cellStyle name="40% - Accent4 3 3 3 3 2 3" xfId="23027"/>
    <cellStyle name="40% - Accent4 3 3 3 3 3" xfId="9935"/>
    <cellStyle name="40% - Accent4 3 3 3 3 4" xfId="20444"/>
    <cellStyle name="40% - Accent4 3 3 3 4" xfId="9936"/>
    <cellStyle name="40% - Accent4 3 3 3 4 2" xfId="9937"/>
    <cellStyle name="40% - Accent4 3 3 3 4 3" xfId="21737"/>
    <cellStyle name="40% - Accent4 3 3 3 5" xfId="9938"/>
    <cellStyle name="40% - Accent4 3 3 3 6" xfId="19147"/>
    <cellStyle name="40% - Accent4 3 3 4" xfId="9939"/>
    <cellStyle name="40% - Accent4 3 3 4 2" xfId="9940"/>
    <cellStyle name="40% - Accent4 3 3 4 2 2" xfId="9941"/>
    <cellStyle name="40% - Accent4 3 3 4 2 2 2" xfId="9942"/>
    <cellStyle name="40% - Accent4 3 3 4 2 2 3" xfId="23350"/>
    <cellStyle name="40% - Accent4 3 3 4 2 3" xfId="9943"/>
    <cellStyle name="40% - Accent4 3 3 4 2 4" xfId="20767"/>
    <cellStyle name="40% - Accent4 3 3 4 3" xfId="9944"/>
    <cellStyle name="40% - Accent4 3 3 4 3 2" xfId="9945"/>
    <cellStyle name="40% - Accent4 3 3 4 3 3" xfId="22060"/>
    <cellStyle name="40% - Accent4 3 3 4 4" xfId="9946"/>
    <cellStyle name="40% - Accent4 3 3 4 5" xfId="19473"/>
    <cellStyle name="40% - Accent4 3 3 5" xfId="9947"/>
    <cellStyle name="40% - Accent4 3 3 5 2" xfId="9948"/>
    <cellStyle name="40% - Accent4 3 3 5 2 2" xfId="9949"/>
    <cellStyle name="40% - Accent4 3 3 5 2 3" xfId="22705"/>
    <cellStyle name="40% - Accent4 3 3 5 3" xfId="9950"/>
    <cellStyle name="40% - Accent4 3 3 5 4" xfId="20122"/>
    <cellStyle name="40% - Accent4 3 3 6" xfId="9951"/>
    <cellStyle name="40% - Accent4 3 3 6 2" xfId="9952"/>
    <cellStyle name="40% - Accent4 3 3 6 3" xfId="21415"/>
    <cellStyle name="40% - Accent4 3 3 7" xfId="9953"/>
    <cellStyle name="40% - Accent4 3 3 8" xfId="18815"/>
    <cellStyle name="40% - Accent4 3 4" xfId="9954"/>
    <cellStyle name="40% - Accent4 3 4 2" xfId="9955"/>
    <cellStyle name="40% - Accent4 3 4 2 2" xfId="9956"/>
    <cellStyle name="40% - Accent4 3 4 2 2 2" xfId="9957"/>
    <cellStyle name="40% - Accent4 3 4 2 2 2 2" xfId="9958"/>
    <cellStyle name="40% - Accent4 3 4 2 2 2 2 2" xfId="9959"/>
    <cellStyle name="40% - Accent4 3 4 2 2 2 2 3" xfId="23753"/>
    <cellStyle name="40% - Accent4 3 4 2 2 2 3" xfId="9960"/>
    <cellStyle name="40% - Accent4 3 4 2 2 2 4" xfId="21170"/>
    <cellStyle name="40% - Accent4 3 4 2 2 3" xfId="9961"/>
    <cellStyle name="40% - Accent4 3 4 2 2 3 2" xfId="9962"/>
    <cellStyle name="40% - Accent4 3 4 2 2 3 3" xfId="22463"/>
    <cellStyle name="40% - Accent4 3 4 2 2 4" xfId="9963"/>
    <cellStyle name="40% - Accent4 3 4 2 2 5" xfId="19876"/>
    <cellStyle name="40% - Accent4 3 4 2 3" xfId="9964"/>
    <cellStyle name="40% - Accent4 3 4 2 3 2" xfId="9965"/>
    <cellStyle name="40% - Accent4 3 4 2 3 2 2" xfId="9966"/>
    <cellStyle name="40% - Accent4 3 4 2 3 2 3" xfId="23108"/>
    <cellStyle name="40% - Accent4 3 4 2 3 3" xfId="9967"/>
    <cellStyle name="40% - Accent4 3 4 2 3 4" xfId="20525"/>
    <cellStyle name="40% - Accent4 3 4 2 4" xfId="9968"/>
    <cellStyle name="40% - Accent4 3 4 2 4 2" xfId="9969"/>
    <cellStyle name="40% - Accent4 3 4 2 4 3" xfId="21818"/>
    <cellStyle name="40% - Accent4 3 4 2 5" xfId="9970"/>
    <cellStyle name="40% - Accent4 3 4 2 6" xfId="19228"/>
    <cellStyle name="40% - Accent4 3 4 3" xfId="9971"/>
    <cellStyle name="40% - Accent4 3 4 3 2" xfId="9972"/>
    <cellStyle name="40% - Accent4 3 4 3 2 2" xfId="9973"/>
    <cellStyle name="40% - Accent4 3 4 3 2 2 2" xfId="9974"/>
    <cellStyle name="40% - Accent4 3 4 3 2 2 3" xfId="23431"/>
    <cellStyle name="40% - Accent4 3 4 3 2 3" xfId="9975"/>
    <cellStyle name="40% - Accent4 3 4 3 2 4" xfId="20848"/>
    <cellStyle name="40% - Accent4 3 4 3 3" xfId="9976"/>
    <cellStyle name="40% - Accent4 3 4 3 3 2" xfId="9977"/>
    <cellStyle name="40% - Accent4 3 4 3 3 3" xfId="22141"/>
    <cellStyle name="40% - Accent4 3 4 3 4" xfId="9978"/>
    <cellStyle name="40% - Accent4 3 4 3 5" xfId="19554"/>
    <cellStyle name="40% - Accent4 3 4 4" xfId="9979"/>
    <cellStyle name="40% - Accent4 3 4 4 2" xfId="9980"/>
    <cellStyle name="40% - Accent4 3 4 4 2 2" xfId="9981"/>
    <cellStyle name="40% - Accent4 3 4 4 2 3" xfId="22786"/>
    <cellStyle name="40% - Accent4 3 4 4 3" xfId="9982"/>
    <cellStyle name="40% - Accent4 3 4 4 4" xfId="20203"/>
    <cellStyle name="40% - Accent4 3 4 5" xfId="9983"/>
    <cellStyle name="40% - Accent4 3 4 5 2" xfId="9984"/>
    <cellStyle name="40% - Accent4 3 4 5 3" xfId="21496"/>
    <cellStyle name="40% - Accent4 3 4 6" xfId="9985"/>
    <cellStyle name="40% - Accent4 3 4 7" xfId="18902"/>
    <cellStyle name="40% - Accent4 3 5" xfId="9986"/>
    <cellStyle name="40% - Accent4 3 5 2" xfId="9987"/>
    <cellStyle name="40% - Accent4 3 5 2 2" xfId="9988"/>
    <cellStyle name="40% - Accent4 3 5 2 2 2" xfId="9989"/>
    <cellStyle name="40% - Accent4 3 5 2 2 2 2" xfId="9990"/>
    <cellStyle name="40% - Accent4 3 5 2 2 2 3" xfId="23592"/>
    <cellStyle name="40% - Accent4 3 5 2 2 3" xfId="9991"/>
    <cellStyle name="40% - Accent4 3 5 2 2 4" xfId="21009"/>
    <cellStyle name="40% - Accent4 3 5 2 3" xfId="9992"/>
    <cellStyle name="40% - Accent4 3 5 2 3 2" xfId="9993"/>
    <cellStyle name="40% - Accent4 3 5 2 3 3" xfId="22302"/>
    <cellStyle name="40% - Accent4 3 5 2 4" xfId="9994"/>
    <cellStyle name="40% - Accent4 3 5 2 5" xfId="19715"/>
    <cellStyle name="40% - Accent4 3 5 3" xfId="9995"/>
    <cellStyle name="40% - Accent4 3 5 3 2" xfId="9996"/>
    <cellStyle name="40% - Accent4 3 5 3 2 2" xfId="9997"/>
    <cellStyle name="40% - Accent4 3 5 3 2 3" xfId="22947"/>
    <cellStyle name="40% - Accent4 3 5 3 3" xfId="9998"/>
    <cellStyle name="40% - Accent4 3 5 3 4" xfId="20364"/>
    <cellStyle name="40% - Accent4 3 5 4" xfId="9999"/>
    <cellStyle name="40% - Accent4 3 5 4 2" xfId="10000"/>
    <cellStyle name="40% - Accent4 3 5 4 3" xfId="21657"/>
    <cellStyle name="40% - Accent4 3 5 5" xfId="10001"/>
    <cellStyle name="40% - Accent4 3 5 6" xfId="19067"/>
    <cellStyle name="40% - Accent4 3 6" xfId="10002"/>
    <cellStyle name="40% - Accent4 3 6 2" xfId="10003"/>
    <cellStyle name="40% - Accent4 3 6 2 2" xfId="10004"/>
    <cellStyle name="40% - Accent4 3 6 2 2 2" xfId="10005"/>
    <cellStyle name="40% - Accent4 3 6 2 2 3" xfId="23269"/>
    <cellStyle name="40% - Accent4 3 6 2 3" xfId="10006"/>
    <cellStyle name="40% - Accent4 3 6 2 4" xfId="20686"/>
    <cellStyle name="40% - Accent4 3 6 3" xfId="10007"/>
    <cellStyle name="40% - Accent4 3 6 3 2" xfId="10008"/>
    <cellStyle name="40% - Accent4 3 6 3 3" xfId="21979"/>
    <cellStyle name="40% - Accent4 3 6 4" xfId="10009"/>
    <cellStyle name="40% - Accent4 3 6 5" xfId="19393"/>
    <cellStyle name="40% - Accent4 3 7" xfId="10010"/>
    <cellStyle name="40% - Accent4 3 7 2" xfId="10011"/>
    <cellStyle name="40% - Accent4 3 7 2 2" xfId="10012"/>
    <cellStyle name="40% - Accent4 3 7 2 3" xfId="22624"/>
    <cellStyle name="40% - Accent4 3 7 3" xfId="10013"/>
    <cellStyle name="40% - Accent4 3 7 4" xfId="20041"/>
    <cellStyle name="40% - Accent4 3 8" xfId="10014"/>
    <cellStyle name="40% - Accent4 3 8 2" xfId="10015"/>
    <cellStyle name="40% - Accent4 3 8 3" xfId="21334"/>
    <cellStyle name="40% - Accent4 3 9" xfId="10016"/>
    <cellStyle name="40% - Accent4 4" xfId="10017"/>
    <cellStyle name="40% - Accent4 4 2" xfId="10018"/>
    <cellStyle name="40% - Accent4 4 2 2" xfId="10019"/>
    <cellStyle name="40% - Accent4 4 2 2 2" xfId="10020"/>
    <cellStyle name="40% - Accent4 4 2 2 2 2" xfId="10021"/>
    <cellStyle name="40% - Accent4 4 2 2 2 2 2" xfId="10022"/>
    <cellStyle name="40% - Accent4 4 2 2 2 2 2 2" xfId="10023"/>
    <cellStyle name="40% - Accent4 4 2 2 2 2 2 2 2" xfId="10024"/>
    <cellStyle name="40% - Accent4 4 2 2 2 2 2 2 3" xfId="23853"/>
    <cellStyle name="40% - Accent4 4 2 2 2 2 2 3" xfId="10025"/>
    <cellStyle name="40% - Accent4 4 2 2 2 2 2 4" xfId="21270"/>
    <cellStyle name="40% - Accent4 4 2 2 2 2 3" xfId="10026"/>
    <cellStyle name="40% - Accent4 4 2 2 2 2 3 2" xfId="10027"/>
    <cellStyle name="40% - Accent4 4 2 2 2 2 3 3" xfId="22563"/>
    <cellStyle name="40% - Accent4 4 2 2 2 2 4" xfId="10028"/>
    <cellStyle name="40% - Accent4 4 2 2 2 2 5" xfId="19976"/>
    <cellStyle name="40% - Accent4 4 2 2 2 3" xfId="10029"/>
    <cellStyle name="40% - Accent4 4 2 2 2 3 2" xfId="10030"/>
    <cellStyle name="40% - Accent4 4 2 2 2 3 2 2" xfId="10031"/>
    <cellStyle name="40% - Accent4 4 2 2 2 3 2 3" xfId="23208"/>
    <cellStyle name="40% - Accent4 4 2 2 2 3 3" xfId="10032"/>
    <cellStyle name="40% - Accent4 4 2 2 2 3 4" xfId="20625"/>
    <cellStyle name="40% - Accent4 4 2 2 2 4" xfId="10033"/>
    <cellStyle name="40% - Accent4 4 2 2 2 4 2" xfId="10034"/>
    <cellStyle name="40% - Accent4 4 2 2 2 4 3" xfId="21918"/>
    <cellStyle name="40% - Accent4 4 2 2 2 5" xfId="10035"/>
    <cellStyle name="40% - Accent4 4 2 2 2 6" xfId="19328"/>
    <cellStyle name="40% - Accent4 4 2 2 3" xfId="10036"/>
    <cellStyle name="40% - Accent4 4 2 2 3 2" xfId="10037"/>
    <cellStyle name="40% - Accent4 4 2 2 3 2 2" xfId="10038"/>
    <cellStyle name="40% - Accent4 4 2 2 3 2 2 2" xfId="10039"/>
    <cellStyle name="40% - Accent4 4 2 2 3 2 2 3" xfId="23531"/>
    <cellStyle name="40% - Accent4 4 2 2 3 2 3" xfId="10040"/>
    <cellStyle name="40% - Accent4 4 2 2 3 2 4" xfId="20948"/>
    <cellStyle name="40% - Accent4 4 2 2 3 3" xfId="10041"/>
    <cellStyle name="40% - Accent4 4 2 2 3 3 2" xfId="10042"/>
    <cellStyle name="40% - Accent4 4 2 2 3 3 3" xfId="22241"/>
    <cellStyle name="40% - Accent4 4 2 2 3 4" xfId="10043"/>
    <cellStyle name="40% - Accent4 4 2 2 3 5" xfId="19654"/>
    <cellStyle name="40% - Accent4 4 2 2 4" xfId="10044"/>
    <cellStyle name="40% - Accent4 4 2 2 4 2" xfId="10045"/>
    <cellStyle name="40% - Accent4 4 2 2 4 2 2" xfId="10046"/>
    <cellStyle name="40% - Accent4 4 2 2 4 2 3" xfId="22886"/>
    <cellStyle name="40% - Accent4 4 2 2 4 3" xfId="10047"/>
    <cellStyle name="40% - Accent4 4 2 2 4 4" xfId="20303"/>
    <cellStyle name="40% - Accent4 4 2 2 5" xfId="10048"/>
    <cellStyle name="40% - Accent4 4 2 2 5 2" xfId="10049"/>
    <cellStyle name="40% - Accent4 4 2 2 5 3" xfId="21596"/>
    <cellStyle name="40% - Accent4 4 2 2 6" xfId="10050"/>
    <cellStyle name="40% - Accent4 4 2 2 7" xfId="19002"/>
    <cellStyle name="40% - Accent4 4 2 3" xfId="10051"/>
    <cellStyle name="40% - Accent4 4 2 3 2" xfId="10052"/>
    <cellStyle name="40% - Accent4 4 2 3 2 2" xfId="10053"/>
    <cellStyle name="40% - Accent4 4 2 3 2 2 2" xfId="10054"/>
    <cellStyle name="40% - Accent4 4 2 3 2 2 2 2" xfId="10055"/>
    <cellStyle name="40% - Accent4 4 2 3 2 2 2 3" xfId="23692"/>
    <cellStyle name="40% - Accent4 4 2 3 2 2 3" xfId="10056"/>
    <cellStyle name="40% - Accent4 4 2 3 2 2 4" xfId="21109"/>
    <cellStyle name="40% - Accent4 4 2 3 2 3" xfId="10057"/>
    <cellStyle name="40% - Accent4 4 2 3 2 3 2" xfId="10058"/>
    <cellStyle name="40% - Accent4 4 2 3 2 3 3" xfId="22402"/>
    <cellStyle name="40% - Accent4 4 2 3 2 4" xfId="10059"/>
    <cellStyle name="40% - Accent4 4 2 3 2 5" xfId="19815"/>
    <cellStyle name="40% - Accent4 4 2 3 3" xfId="10060"/>
    <cellStyle name="40% - Accent4 4 2 3 3 2" xfId="10061"/>
    <cellStyle name="40% - Accent4 4 2 3 3 2 2" xfId="10062"/>
    <cellStyle name="40% - Accent4 4 2 3 3 2 3" xfId="23047"/>
    <cellStyle name="40% - Accent4 4 2 3 3 3" xfId="10063"/>
    <cellStyle name="40% - Accent4 4 2 3 3 4" xfId="20464"/>
    <cellStyle name="40% - Accent4 4 2 3 4" xfId="10064"/>
    <cellStyle name="40% - Accent4 4 2 3 4 2" xfId="10065"/>
    <cellStyle name="40% - Accent4 4 2 3 4 3" xfId="21757"/>
    <cellStyle name="40% - Accent4 4 2 3 5" xfId="10066"/>
    <cellStyle name="40% - Accent4 4 2 3 6" xfId="19167"/>
    <cellStyle name="40% - Accent4 4 2 4" xfId="10067"/>
    <cellStyle name="40% - Accent4 4 2 4 2" xfId="10068"/>
    <cellStyle name="40% - Accent4 4 2 4 2 2" xfId="10069"/>
    <cellStyle name="40% - Accent4 4 2 4 2 2 2" xfId="10070"/>
    <cellStyle name="40% - Accent4 4 2 4 2 2 3" xfId="23370"/>
    <cellStyle name="40% - Accent4 4 2 4 2 3" xfId="10071"/>
    <cellStyle name="40% - Accent4 4 2 4 2 4" xfId="20787"/>
    <cellStyle name="40% - Accent4 4 2 4 3" xfId="10072"/>
    <cellStyle name="40% - Accent4 4 2 4 3 2" xfId="10073"/>
    <cellStyle name="40% - Accent4 4 2 4 3 3" xfId="22080"/>
    <cellStyle name="40% - Accent4 4 2 4 4" xfId="10074"/>
    <cellStyle name="40% - Accent4 4 2 4 5" xfId="19493"/>
    <cellStyle name="40% - Accent4 4 2 5" xfId="10075"/>
    <cellStyle name="40% - Accent4 4 2 5 2" xfId="10076"/>
    <cellStyle name="40% - Accent4 4 2 5 2 2" xfId="10077"/>
    <cellStyle name="40% - Accent4 4 2 5 2 3" xfId="22725"/>
    <cellStyle name="40% - Accent4 4 2 5 3" xfId="10078"/>
    <cellStyle name="40% - Accent4 4 2 5 4" xfId="20142"/>
    <cellStyle name="40% - Accent4 4 2 6" xfId="10079"/>
    <cellStyle name="40% - Accent4 4 2 6 2" xfId="10080"/>
    <cellStyle name="40% - Accent4 4 2 6 3" xfId="21435"/>
    <cellStyle name="40% - Accent4 4 2 7" xfId="10081"/>
    <cellStyle name="40% - Accent4 4 2 8" xfId="18836"/>
    <cellStyle name="40% - Accent4 4 3" xfId="10082"/>
    <cellStyle name="40% - Accent4 4 3 2" xfId="10083"/>
    <cellStyle name="40% - Accent4 4 3 2 2" xfId="10084"/>
    <cellStyle name="40% - Accent4 4 3 2 2 2" xfId="10085"/>
    <cellStyle name="40% - Accent4 4 3 2 2 2 2" xfId="10086"/>
    <cellStyle name="40% - Accent4 4 3 2 2 2 2 2" xfId="10087"/>
    <cellStyle name="40% - Accent4 4 3 2 2 2 2 3" xfId="23773"/>
    <cellStyle name="40% - Accent4 4 3 2 2 2 3" xfId="10088"/>
    <cellStyle name="40% - Accent4 4 3 2 2 2 4" xfId="21190"/>
    <cellStyle name="40% - Accent4 4 3 2 2 3" xfId="10089"/>
    <cellStyle name="40% - Accent4 4 3 2 2 3 2" xfId="10090"/>
    <cellStyle name="40% - Accent4 4 3 2 2 3 3" xfId="22483"/>
    <cellStyle name="40% - Accent4 4 3 2 2 4" xfId="10091"/>
    <cellStyle name="40% - Accent4 4 3 2 2 5" xfId="19896"/>
    <cellStyle name="40% - Accent4 4 3 2 3" xfId="10092"/>
    <cellStyle name="40% - Accent4 4 3 2 3 2" xfId="10093"/>
    <cellStyle name="40% - Accent4 4 3 2 3 2 2" xfId="10094"/>
    <cellStyle name="40% - Accent4 4 3 2 3 2 3" xfId="23128"/>
    <cellStyle name="40% - Accent4 4 3 2 3 3" xfId="10095"/>
    <cellStyle name="40% - Accent4 4 3 2 3 4" xfId="20545"/>
    <cellStyle name="40% - Accent4 4 3 2 4" xfId="10096"/>
    <cellStyle name="40% - Accent4 4 3 2 4 2" xfId="10097"/>
    <cellStyle name="40% - Accent4 4 3 2 4 3" xfId="21838"/>
    <cellStyle name="40% - Accent4 4 3 2 5" xfId="10098"/>
    <cellStyle name="40% - Accent4 4 3 2 6" xfId="19248"/>
    <cellStyle name="40% - Accent4 4 3 3" xfId="10099"/>
    <cellStyle name="40% - Accent4 4 3 3 2" xfId="10100"/>
    <cellStyle name="40% - Accent4 4 3 3 2 2" xfId="10101"/>
    <cellStyle name="40% - Accent4 4 3 3 2 2 2" xfId="10102"/>
    <cellStyle name="40% - Accent4 4 3 3 2 2 3" xfId="23451"/>
    <cellStyle name="40% - Accent4 4 3 3 2 3" xfId="10103"/>
    <cellStyle name="40% - Accent4 4 3 3 2 4" xfId="20868"/>
    <cellStyle name="40% - Accent4 4 3 3 3" xfId="10104"/>
    <cellStyle name="40% - Accent4 4 3 3 3 2" xfId="10105"/>
    <cellStyle name="40% - Accent4 4 3 3 3 3" xfId="22161"/>
    <cellStyle name="40% - Accent4 4 3 3 4" xfId="10106"/>
    <cellStyle name="40% - Accent4 4 3 3 5" xfId="19574"/>
    <cellStyle name="40% - Accent4 4 3 4" xfId="10107"/>
    <cellStyle name="40% - Accent4 4 3 4 2" xfId="10108"/>
    <cellStyle name="40% - Accent4 4 3 4 2 2" xfId="10109"/>
    <cellStyle name="40% - Accent4 4 3 4 2 3" xfId="22806"/>
    <cellStyle name="40% - Accent4 4 3 4 3" xfId="10110"/>
    <cellStyle name="40% - Accent4 4 3 4 4" xfId="20223"/>
    <cellStyle name="40% - Accent4 4 3 5" xfId="10111"/>
    <cellStyle name="40% - Accent4 4 3 5 2" xfId="10112"/>
    <cellStyle name="40% - Accent4 4 3 5 3" xfId="21516"/>
    <cellStyle name="40% - Accent4 4 3 6" xfId="10113"/>
    <cellStyle name="40% - Accent4 4 3 7" xfId="18922"/>
    <cellStyle name="40% - Accent4 4 4" xfId="10114"/>
    <cellStyle name="40% - Accent4 4 4 2" xfId="10115"/>
    <cellStyle name="40% - Accent4 4 4 2 2" xfId="10116"/>
    <cellStyle name="40% - Accent4 4 4 2 2 2" xfId="10117"/>
    <cellStyle name="40% - Accent4 4 4 2 2 2 2" xfId="10118"/>
    <cellStyle name="40% - Accent4 4 4 2 2 2 3" xfId="23612"/>
    <cellStyle name="40% - Accent4 4 4 2 2 3" xfId="10119"/>
    <cellStyle name="40% - Accent4 4 4 2 2 4" xfId="21029"/>
    <cellStyle name="40% - Accent4 4 4 2 3" xfId="10120"/>
    <cellStyle name="40% - Accent4 4 4 2 3 2" xfId="10121"/>
    <cellStyle name="40% - Accent4 4 4 2 3 3" xfId="22322"/>
    <cellStyle name="40% - Accent4 4 4 2 4" xfId="10122"/>
    <cellStyle name="40% - Accent4 4 4 2 5" xfId="19735"/>
    <cellStyle name="40% - Accent4 4 4 3" xfId="10123"/>
    <cellStyle name="40% - Accent4 4 4 3 2" xfId="10124"/>
    <cellStyle name="40% - Accent4 4 4 3 2 2" xfId="10125"/>
    <cellStyle name="40% - Accent4 4 4 3 2 3" xfId="22967"/>
    <cellStyle name="40% - Accent4 4 4 3 3" xfId="10126"/>
    <cellStyle name="40% - Accent4 4 4 3 4" xfId="20384"/>
    <cellStyle name="40% - Accent4 4 4 4" xfId="10127"/>
    <cellStyle name="40% - Accent4 4 4 4 2" xfId="10128"/>
    <cellStyle name="40% - Accent4 4 4 4 3" xfId="21677"/>
    <cellStyle name="40% - Accent4 4 4 5" xfId="10129"/>
    <cellStyle name="40% - Accent4 4 4 6" xfId="19087"/>
    <cellStyle name="40% - Accent4 4 5" xfId="10130"/>
    <cellStyle name="40% - Accent4 4 5 2" xfId="10131"/>
    <cellStyle name="40% - Accent4 4 5 2 2" xfId="10132"/>
    <cellStyle name="40% - Accent4 4 5 2 2 2" xfId="10133"/>
    <cellStyle name="40% - Accent4 4 5 2 2 3" xfId="23289"/>
    <cellStyle name="40% - Accent4 4 5 2 3" xfId="10134"/>
    <cellStyle name="40% - Accent4 4 5 2 4" xfId="20706"/>
    <cellStyle name="40% - Accent4 4 5 3" xfId="10135"/>
    <cellStyle name="40% - Accent4 4 5 3 2" xfId="10136"/>
    <cellStyle name="40% - Accent4 4 5 3 3" xfId="21999"/>
    <cellStyle name="40% - Accent4 4 5 4" xfId="10137"/>
    <cellStyle name="40% - Accent4 4 5 5" xfId="19413"/>
    <cellStyle name="40% - Accent4 4 6" xfId="10138"/>
    <cellStyle name="40% - Accent4 4 6 2" xfId="10139"/>
    <cellStyle name="40% - Accent4 4 6 2 2" xfId="10140"/>
    <cellStyle name="40% - Accent4 4 6 2 3" xfId="22644"/>
    <cellStyle name="40% - Accent4 4 6 3" xfId="10141"/>
    <cellStyle name="40% - Accent4 4 6 4" xfId="20061"/>
    <cellStyle name="40% - Accent4 4 7" xfId="10142"/>
    <cellStyle name="40% - Accent4 4 7 2" xfId="10143"/>
    <cellStyle name="40% - Accent4 4 7 3" xfId="21354"/>
    <cellStyle name="40% - Accent4 4 8" xfId="10144"/>
    <cellStyle name="40% - Accent4 4 9" xfId="18736"/>
    <cellStyle name="40% - Accent4 5" xfId="10145"/>
    <cellStyle name="40% - Accent4 5 2" xfId="10146"/>
    <cellStyle name="40% - Accent4 5 2 2" xfId="10147"/>
    <cellStyle name="40% - Accent4 5 2 2 2" xfId="10148"/>
    <cellStyle name="40% - Accent4 5 2 2 2 2" xfId="10149"/>
    <cellStyle name="40% - Accent4 5 2 2 2 2 2" xfId="10150"/>
    <cellStyle name="40% - Accent4 5 2 2 2 2 2 2" xfId="10151"/>
    <cellStyle name="40% - Accent4 5 2 2 2 2 2 3" xfId="23813"/>
    <cellStyle name="40% - Accent4 5 2 2 2 2 3" xfId="10152"/>
    <cellStyle name="40% - Accent4 5 2 2 2 2 4" xfId="21230"/>
    <cellStyle name="40% - Accent4 5 2 2 2 3" xfId="10153"/>
    <cellStyle name="40% - Accent4 5 2 2 2 3 2" xfId="10154"/>
    <cellStyle name="40% - Accent4 5 2 2 2 3 3" xfId="22523"/>
    <cellStyle name="40% - Accent4 5 2 2 2 4" xfId="10155"/>
    <cellStyle name="40% - Accent4 5 2 2 2 5" xfId="19936"/>
    <cellStyle name="40% - Accent4 5 2 2 3" xfId="10156"/>
    <cellStyle name="40% - Accent4 5 2 2 3 2" xfId="10157"/>
    <cellStyle name="40% - Accent4 5 2 2 3 2 2" xfId="10158"/>
    <cellStyle name="40% - Accent4 5 2 2 3 2 3" xfId="23168"/>
    <cellStyle name="40% - Accent4 5 2 2 3 3" xfId="10159"/>
    <cellStyle name="40% - Accent4 5 2 2 3 4" xfId="20585"/>
    <cellStyle name="40% - Accent4 5 2 2 4" xfId="10160"/>
    <cellStyle name="40% - Accent4 5 2 2 4 2" xfId="10161"/>
    <cellStyle name="40% - Accent4 5 2 2 4 3" xfId="21878"/>
    <cellStyle name="40% - Accent4 5 2 2 5" xfId="10162"/>
    <cellStyle name="40% - Accent4 5 2 2 6" xfId="19288"/>
    <cellStyle name="40% - Accent4 5 2 3" xfId="10163"/>
    <cellStyle name="40% - Accent4 5 2 3 2" xfId="10164"/>
    <cellStyle name="40% - Accent4 5 2 3 2 2" xfId="10165"/>
    <cellStyle name="40% - Accent4 5 2 3 2 2 2" xfId="10166"/>
    <cellStyle name="40% - Accent4 5 2 3 2 2 3" xfId="23491"/>
    <cellStyle name="40% - Accent4 5 2 3 2 3" xfId="10167"/>
    <cellStyle name="40% - Accent4 5 2 3 2 4" xfId="20908"/>
    <cellStyle name="40% - Accent4 5 2 3 3" xfId="10168"/>
    <cellStyle name="40% - Accent4 5 2 3 3 2" xfId="10169"/>
    <cellStyle name="40% - Accent4 5 2 3 3 3" xfId="22201"/>
    <cellStyle name="40% - Accent4 5 2 3 4" xfId="10170"/>
    <cellStyle name="40% - Accent4 5 2 3 5" xfId="19614"/>
    <cellStyle name="40% - Accent4 5 2 4" xfId="10171"/>
    <cellStyle name="40% - Accent4 5 2 4 2" xfId="10172"/>
    <cellStyle name="40% - Accent4 5 2 4 2 2" xfId="10173"/>
    <cellStyle name="40% - Accent4 5 2 4 2 3" xfId="22846"/>
    <cellStyle name="40% - Accent4 5 2 4 3" xfId="10174"/>
    <cellStyle name="40% - Accent4 5 2 4 4" xfId="20263"/>
    <cellStyle name="40% - Accent4 5 2 5" xfId="10175"/>
    <cellStyle name="40% - Accent4 5 2 5 2" xfId="10176"/>
    <cellStyle name="40% - Accent4 5 2 5 3" xfId="21556"/>
    <cellStyle name="40% - Accent4 5 2 6" xfId="10177"/>
    <cellStyle name="40% - Accent4 5 2 7" xfId="18962"/>
    <cellStyle name="40% - Accent4 5 3" xfId="10178"/>
    <cellStyle name="40% - Accent4 5 3 2" xfId="10179"/>
    <cellStyle name="40% - Accent4 5 3 2 2" xfId="10180"/>
    <cellStyle name="40% - Accent4 5 3 2 2 2" xfId="10181"/>
    <cellStyle name="40% - Accent4 5 3 2 2 2 2" xfId="10182"/>
    <cellStyle name="40% - Accent4 5 3 2 2 2 3" xfId="23652"/>
    <cellStyle name="40% - Accent4 5 3 2 2 3" xfId="10183"/>
    <cellStyle name="40% - Accent4 5 3 2 2 4" xfId="21069"/>
    <cellStyle name="40% - Accent4 5 3 2 3" xfId="10184"/>
    <cellStyle name="40% - Accent4 5 3 2 3 2" xfId="10185"/>
    <cellStyle name="40% - Accent4 5 3 2 3 3" xfId="22362"/>
    <cellStyle name="40% - Accent4 5 3 2 4" xfId="10186"/>
    <cellStyle name="40% - Accent4 5 3 2 5" xfId="19775"/>
    <cellStyle name="40% - Accent4 5 3 3" xfId="10187"/>
    <cellStyle name="40% - Accent4 5 3 3 2" xfId="10188"/>
    <cellStyle name="40% - Accent4 5 3 3 2 2" xfId="10189"/>
    <cellStyle name="40% - Accent4 5 3 3 2 3" xfId="23007"/>
    <cellStyle name="40% - Accent4 5 3 3 3" xfId="10190"/>
    <cellStyle name="40% - Accent4 5 3 3 4" xfId="20424"/>
    <cellStyle name="40% - Accent4 5 3 4" xfId="10191"/>
    <cellStyle name="40% - Accent4 5 3 4 2" xfId="10192"/>
    <cellStyle name="40% - Accent4 5 3 4 3" xfId="21717"/>
    <cellStyle name="40% - Accent4 5 3 5" xfId="10193"/>
    <cellStyle name="40% - Accent4 5 3 6" xfId="19127"/>
    <cellStyle name="40% - Accent4 5 4" xfId="10194"/>
    <cellStyle name="40% - Accent4 5 4 2" xfId="10195"/>
    <cellStyle name="40% - Accent4 5 4 2 2" xfId="10196"/>
    <cellStyle name="40% - Accent4 5 4 2 2 2" xfId="10197"/>
    <cellStyle name="40% - Accent4 5 4 2 2 3" xfId="23330"/>
    <cellStyle name="40% - Accent4 5 4 2 3" xfId="10198"/>
    <cellStyle name="40% - Accent4 5 4 2 4" xfId="20747"/>
    <cellStyle name="40% - Accent4 5 4 3" xfId="10199"/>
    <cellStyle name="40% - Accent4 5 4 3 2" xfId="10200"/>
    <cellStyle name="40% - Accent4 5 4 3 3" xfId="22040"/>
    <cellStyle name="40% - Accent4 5 4 4" xfId="10201"/>
    <cellStyle name="40% - Accent4 5 4 5" xfId="19453"/>
    <cellStyle name="40% - Accent4 5 5" xfId="10202"/>
    <cellStyle name="40% - Accent4 5 5 2" xfId="10203"/>
    <cellStyle name="40% - Accent4 5 5 2 2" xfId="10204"/>
    <cellStyle name="40% - Accent4 5 5 2 3" xfId="22685"/>
    <cellStyle name="40% - Accent4 5 5 3" xfId="10205"/>
    <cellStyle name="40% - Accent4 5 5 4" xfId="20102"/>
    <cellStyle name="40% - Accent4 5 6" xfId="10206"/>
    <cellStyle name="40% - Accent4 5 6 2" xfId="10207"/>
    <cellStyle name="40% - Accent4 5 6 3" xfId="21395"/>
    <cellStyle name="40% - Accent4 5 7" xfId="10208"/>
    <cellStyle name="40% - Accent4 5 8" xfId="18789"/>
    <cellStyle name="40% - Accent4 6" xfId="10209"/>
    <cellStyle name="40% - Accent4 6 2" xfId="10210"/>
    <cellStyle name="40% - Accent4 6 2 2" xfId="10211"/>
    <cellStyle name="40% - Accent4 6 2 2 2" xfId="10212"/>
    <cellStyle name="40% - Accent4 6 2 2 2 2" xfId="10213"/>
    <cellStyle name="40% - Accent4 6 2 2 2 2 2" xfId="10214"/>
    <cellStyle name="40% - Accent4 6 2 2 2 2 3" xfId="23733"/>
    <cellStyle name="40% - Accent4 6 2 2 2 3" xfId="10215"/>
    <cellStyle name="40% - Accent4 6 2 2 2 4" xfId="21150"/>
    <cellStyle name="40% - Accent4 6 2 2 3" xfId="10216"/>
    <cellStyle name="40% - Accent4 6 2 2 3 2" xfId="10217"/>
    <cellStyle name="40% - Accent4 6 2 2 3 3" xfId="22443"/>
    <cellStyle name="40% - Accent4 6 2 2 4" xfId="10218"/>
    <cellStyle name="40% - Accent4 6 2 2 5" xfId="19856"/>
    <cellStyle name="40% - Accent4 6 2 3" xfId="10219"/>
    <cellStyle name="40% - Accent4 6 2 3 2" xfId="10220"/>
    <cellStyle name="40% - Accent4 6 2 3 2 2" xfId="10221"/>
    <cellStyle name="40% - Accent4 6 2 3 2 3" xfId="23088"/>
    <cellStyle name="40% - Accent4 6 2 3 3" xfId="10222"/>
    <cellStyle name="40% - Accent4 6 2 3 4" xfId="20505"/>
    <cellStyle name="40% - Accent4 6 2 4" xfId="10223"/>
    <cellStyle name="40% - Accent4 6 2 4 2" xfId="10224"/>
    <cellStyle name="40% - Accent4 6 2 4 3" xfId="21798"/>
    <cellStyle name="40% - Accent4 6 2 5" xfId="10225"/>
    <cellStyle name="40% - Accent4 6 2 6" xfId="19208"/>
    <cellStyle name="40% - Accent4 6 3" xfId="10226"/>
    <cellStyle name="40% - Accent4 6 3 2" xfId="10227"/>
    <cellStyle name="40% - Accent4 6 3 2 2" xfId="10228"/>
    <cellStyle name="40% - Accent4 6 3 2 2 2" xfId="10229"/>
    <cellStyle name="40% - Accent4 6 3 2 2 3" xfId="23411"/>
    <cellStyle name="40% - Accent4 6 3 2 3" xfId="10230"/>
    <cellStyle name="40% - Accent4 6 3 2 4" xfId="20828"/>
    <cellStyle name="40% - Accent4 6 3 3" xfId="10231"/>
    <cellStyle name="40% - Accent4 6 3 3 2" xfId="10232"/>
    <cellStyle name="40% - Accent4 6 3 3 3" xfId="22121"/>
    <cellStyle name="40% - Accent4 6 3 4" xfId="10233"/>
    <cellStyle name="40% - Accent4 6 3 5" xfId="19534"/>
    <cellStyle name="40% - Accent4 6 4" xfId="10234"/>
    <cellStyle name="40% - Accent4 6 4 2" xfId="10235"/>
    <cellStyle name="40% - Accent4 6 4 2 2" xfId="10236"/>
    <cellStyle name="40% - Accent4 6 4 2 3" xfId="22766"/>
    <cellStyle name="40% - Accent4 6 4 3" xfId="10237"/>
    <cellStyle name="40% - Accent4 6 4 4" xfId="20183"/>
    <cellStyle name="40% - Accent4 6 5" xfId="10238"/>
    <cellStyle name="40% - Accent4 6 5 2" xfId="10239"/>
    <cellStyle name="40% - Accent4 6 5 3" xfId="21476"/>
    <cellStyle name="40% - Accent4 6 6" xfId="10240"/>
    <cellStyle name="40% - Accent4 6 7" xfId="18878"/>
    <cellStyle name="40% - Accent4 7" xfId="10241"/>
    <cellStyle name="40% - Accent4 7 2" xfId="10242"/>
    <cellStyle name="40% - Accent4 7 2 2" xfId="10243"/>
    <cellStyle name="40% - Accent4 7 2 2 2" xfId="10244"/>
    <cellStyle name="40% - Accent4 7 2 2 2 2" xfId="10245"/>
    <cellStyle name="40% - Accent4 7 2 2 2 3" xfId="23572"/>
    <cellStyle name="40% - Accent4 7 2 2 3" xfId="10246"/>
    <cellStyle name="40% - Accent4 7 2 2 4" xfId="20989"/>
    <cellStyle name="40% - Accent4 7 2 3" xfId="10247"/>
    <cellStyle name="40% - Accent4 7 2 3 2" xfId="10248"/>
    <cellStyle name="40% - Accent4 7 2 3 3" xfId="22282"/>
    <cellStyle name="40% - Accent4 7 2 4" xfId="10249"/>
    <cellStyle name="40% - Accent4 7 2 5" xfId="19695"/>
    <cellStyle name="40% - Accent4 7 3" xfId="10250"/>
    <cellStyle name="40% - Accent4 7 3 2" xfId="10251"/>
    <cellStyle name="40% - Accent4 7 3 2 2" xfId="10252"/>
    <cellStyle name="40% - Accent4 7 3 2 3" xfId="22927"/>
    <cellStyle name="40% - Accent4 7 3 3" xfId="10253"/>
    <cellStyle name="40% - Accent4 7 3 4" xfId="20344"/>
    <cellStyle name="40% - Accent4 7 4" xfId="10254"/>
    <cellStyle name="40% - Accent4 7 4 2" xfId="10255"/>
    <cellStyle name="40% - Accent4 7 4 3" xfId="21637"/>
    <cellStyle name="40% - Accent4 7 5" xfId="10256"/>
    <cellStyle name="40% - Accent4 7 6" xfId="19043"/>
    <cellStyle name="40% - Accent4 8" xfId="10257"/>
    <cellStyle name="40% - Accent4 8 2" xfId="10258"/>
    <cellStyle name="40% - Accent4 8 2 2" xfId="10259"/>
    <cellStyle name="40% - Accent4 8 2 2 2" xfId="10260"/>
    <cellStyle name="40% - Accent4 8 2 2 3" xfId="23249"/>
    <cellStyle name="40% - Accent4 8 2 3" xfId="10261"/>
    <cellStyle name="40% - Accent4 8 2 4" xfId="20666"/>
    <cellStyle name="40% - Accent4 8 3" xfId="10262"/>
    <cellStyle name="40% - Accent4 8 3 2" xfId="10263"/>
    <cellStyle name="40% - Accent4 8 3 3" xfId="21959"/>
    <cellStyle name="40% - Accent4 8 4" xfId="10264"/>
    <cellStyle name="40% - Accent4 8 5" xfId="19369"/>
    <cellStyle name="40% - Accent4 9" xfId="10265"/>
    <cellStyle name="40% - Accent4 9 2" xfId="10266"/>
    <cellStyle name="40% - Accent4 9 2 2" xfId="10267"/>
    <cellStyle name="40% - Accent4 9 2 3" xfId="22604"/>
    <cellStyle name="40% - Accent4 9 3" xfId="10268"/>
    <cellStyle name="40% - Accent4 9 4" xfId="20017"/>
    <cellStyle name="40% - Accent5 10" xfId="10269"/>
    <cellStyle name="40% - Accent5 10 2" xfId="10270"/>
    <cellStyle name="40% - Accent5 10 3" xfId="21312"/>
    <cellStyle name="40% - Accent5 11" xfId="10271"/>
    <cellStyle name="40% - Accent5 12" xfId="10272"/>
    <cellStyle name="40% - Accent5 13" xfId="10273"/>
    <cellStyle name="40% - Accent5 14" xfId="10274"/>
    <cellStyle name="40% - Accent5 15" xfId="18625"/>
    <cellStyle name="40% - Accent5 2" xfId="10275"/>
    <cellStyle name="40% - Accent5 2 10" xfId="10276"/>
    <cellStyle name="40% - Accent5 2 11" xfId="18640"/>
    <cellStyle name="40% - Accent5 2 2" xfId="10277"/>
    <cellStyle name="40% - Accent5 2 2 10" xfId="18728"/>
    <cellStyle name="40% - Accent5 2 2 2" xfId="10278"/>
    <cellStyle name="40% - Accent5 2 2 2 2" xfId="10279"/>
    <cellStyle name="40% - Accent5 2 2 2 2 2" xfId="10280"/>
    <cellStyle name="40% - Accent5 2 2 2 2 2 2" xfId="10281"/>
    <cellStyle name="40% - Accent5 2 2 2 2 2 2 2" xfId="10282"/>
    <cellStyle name="40% - Accent5 2 2 2 2 2 2 2 2" xfId="10283"/>
    <cellStyle name="40% - Accent5 2 2 2 2 2 2 2 2 2" xfId="10284"/>
    <cellStyle name="40% - Accent5 2 2 2 2 2 2 2 2 2 2" xfId="10285"/>
    <cellStyle name="40% - Accent5 2 2 2 2 2 2 2 2 2 3" xfId="23885"/>
    <cellStyle name="40% - Accent5 2 2 2 2 2 2 2 2 3" xfId="10286"/>
    <cellStyle name="40% - Accent5 2 2 2 2 2 2 2 2 4" xfId="21302"/>
    <cellStyle name="40% - Accent5 2 2 2 2 2 2 2 3" xfId="10287"/>
    <cellStyle name="40% - Accent5 2 2 2 2 2 2 2 3 2" xfId="10288"/>
    <cellStyle name="40% - Accent5 2 2 2 2 2 2 2 3 3" xfId="22595"/>
    <cellStyle name="40% - Accent5 2 2 2 2 2 2 2 4" xfId="10289"/>
    <cellStyle name="40% - Accent5 2 2 2 2 2 2 2 5" xfId="20008"/>
    <cellStyle name="40% - Accent5 2 2 2 2 2 2 3" xfId="10290"/>
    <cellStyle name="40% - Accent5 2 2 2 2 2 2 3 2" xfId="10291"/>
    <cellStyle name="40% - Accent5 2 2 2 2 2 2 3 2 2" xfId="10292"/>
    <cellStyle name="40% - Accent5 2 2 2 2 2 2 3 2 3" xfId="23240"/>
    <cellStyle name="40% - Accent5 2 2 2 2 2 2 3 3" xfId="10293"/>
    <cellStyle name="40% - Accent5 2 2 2 2 2 2 3 4" xfId="20657"/>
    <cellStyle name="40% - Accent5 2 2 2 2 2 2 4" xfId="10294"/>
    <cellStyle name="40% - Accent5 2 2 2 2 2 2 4 2" xfId="10295"/>
    <cellStyle name="40% - Accent5 2 2 2 2 2 2 4 3" xfId="21950"/>
    <cellStyle name="40% - Accent5 2 2 2 2 2 2 5" xfId="10296"/>
    <cellStyle name="40% - Accent5 2 2 2 2 2 2 6" xfId="19360"/>
    <cellStyle name="40% - Accent5 2 2 2 2 2 3" xfId="10297"/>
    <cellStyle name="40% - Accent5 2 2 2 2 2 3 2" xfId="10298"/>
    <cellStyle name="40% - Accent5 2 2 2 2 2 3 2 2" xfId="10299"/>
    <cellStyle name="40% - Accent5 2 2 2 2 2 3 2 2 2" xfId="10300"/>
    <cellStyle name="40% - Accent5 2 2 2 2 2 3 2 2 3" xfId="23563"/>
    <cellStyle name="40% - Accent5 2 2 2 2 2 3 2 3" xfId="10301"/>
    <cellStyle name="40% - Accent5 2 2 2 2 2 3 2 4" xfId="20980"/>
    <cellStyle name="40% - Accent5 2 2 2 2 2 3 3" xfId="10302"/>
    <cellStyle name="40% - Accent5 2 2 2 2 2 3 3 2" xfId="10303"/>
    <cellStyle name="40% - Accent5 2 2 2 2 2 3 3 3" xfId="22273"/>
    <cellStyle name="40% - Accent5 2 2 2 2 2 3 4" xfId="10304"/>
    <cellStyle name="40% - Accent5 2 2 2 2 2 3 5" xfId="19686"/>
    <cellStyle name="40% - Accent5 2 2 2 2 2 4" xfId="10305"/>
    <cellStyle name="40% - Accent5 2 2 2 2 2 4 2" xfId="10306"/>
    <cellStyle name="40% - Accent5 2 2 2 2 2 4 2 2" xfId="10307"/>
    <cellStyle name="40% - Accent5 2 2 2 2 2 4 2 3" xfId="22918"/>
    <cellStyle name="40% - Accent5 2 2 2 2 2 4 3" xfId="10308"/>
    <cellStyle name="40% - Accent5 2 2 2 2 2 4 4" xfId="20335"/>
    <cellStyle name="40% - Accent5 2 2 2 2 2 5" xfId="10309"/>
    <cellStyle name="40% - Accent5 2 2 2 2 2 5 2" xfId="10310"/>
    <cellStyle name="40% - Accent5 2 2 2 2 2 5 3" xfId="21628"/>
    <cellStyle name="40% - Accent5 2 2 2 2 2 6" xfId="10311"/>
    <cellStyle name="40% - Accent5 2 2 2 2 2 7" xfId="19034"/>
    <cellStyle name="40% - Accent5 2 2 2 2 3" xfId="10312"/>
    <cellStyle name="40% - Accent5 2 2 2 2 3 2" xfId="10313"/>
    <cellStyle name="40% - Accent5 2 2 2 2 3 2 2" xfId="10314"/>
    <cellStyle name="40% - Accent5 2 2 2 2 3 2 2 2" xfId="10315"/>
    <cellStyle name="40% - Accent5 2 2 2 2 3 2 2 2 2" xfId="10316"/>
    <cellStyle name="40% - Accent5 2 2 2 2 3 2 2 2 3" xfId="23724"/>
    <cellStyle name="40% - Accent5 2 2 2 2 3 2 2 3" xfId="10317"/>
    <cellStyle name="40% - Accent5 2 2 2 2 3 2 2 4" xfId="21141"/>
    <cellStyle name="40% - Accent5 2 2 2 2 3 2 3" xfId="10318"/>
    <cellStyle name="40% - Accent5 2 2 2 2 3 2 3 2" xfId="10319"/>
    <cellStyle name="40% - Accent5 2 2 2 2 3 2 3 3" xfId="22434"/>
    <cellStyle name="40% - Accent5 2 2 2 2 3 2 4" xfId="10320"/>
    <cellStyle name="40% - Accent5 2 2 2 2 3 2 5" xfId="19847"/>
    <cellStyle name="40% - Accent5 2 2 2 2 3 3" xfId="10321"/>
    <cellStyle name="40% - Accent5 2 2 2 2 3 3 2" xfId="10322"/>
    <cellStyle name="40% - Accent5 2 2 2 2 3 3 2 2" xfId="10323"/>
    <cellStyle name="40% - Accent5 2 2 2 2 3 3 2 3" xfId="23079"/>
    <cellStyle name="40% - Accent5 2 2 2 2 3 3 3" xfId="10324"/>
    <cellStyle name="40% - Accent5 2 2 2 2 3 3 4" xfId="20496"/>
    <cellStyle name="40% - Accent5 2 2 2 2 3 4" xfId="10325"/>
    <cellStyle name="40% - Accent5 2 2 2 2 3 4 2" xfId="10326"/>
    <cellStyle name="40% - Accent5 2 2 2 2 3 4 3" xfId="21789"/>
    <cellStyle name="40% - Accent5 2 2 2 2 3 5" xfId="10327"/>
    <cellStyle name="40% - Accent5 2 2 2 2 3 6" xfId="19199"/>
    <cellStyle name="40% - Accent5 2 2 2 2 4" xfId="10328"/>
    <cellStyle name="40% - Accent5 2 2 2 2 4 2" xfId="10329"/>
    <cellStyle name="40% - Accent5 2 2 2 2 4 2 2" xfId="10330"/>
    <cellStyle name="40% - Accent5 2 2 2 2 4 2 2 2" xfId="10331"/>
    <cellStyle name="40% - Accent5 2 2 2 2 4 2 2 3" xfId="23402"/>
    <cellStyle name="40% - Accent5 2 2 2 2 4 2 3" xfId="10332"/>
    <cellStyle name="40% - Accent5 2 2 2 2 4 2 4" xfId="20819"/>
    <cellStyle name="40% - Accent5 2 2 2 2 4 3" xfId="10333"/>
    <cellStyle name="40% - Accent5 2 2 2 2 4 3 2" xfId="10334"/>
    <cellStyle name="40% - Accent5 2 2 2 2 4 3 3" xfId="22112"/>
    <cellStyle name="40% - Accent5 2 2 2 2 4 4" xfId="10335"/>
    <cellStyle name="40% - Accent5 2 2 2 2 4 5" xfId="19525"/>
    <cellStyle name="40% - Accent5 2 2 2 2 5" xfId="10336"/>
    <cellStyle name="40% - Accent5 2 2 2 2 5 2" xfId="10337"/>
    <cellStyle name="40% - Accent5 2 2 2 2 5 2 2" xfId="10338"/>
    <cellStyle name="40% - Accent5 2 2 2 2 5 2 3" xfId="22757"/>
    <cellStyle name="40% - Accent5 2 2 2 2 5 3" xfId="10339"/>
    <cellStyle name="40% - Accent5 2 2 2 2 5 4" xfId="20174"/>
    <cellStyle name="40% - Accent5 2 2 2 2 6" xfId="10340"/>
    <cellStyle name="40% - Accent5 2 2 2 2 6 2" xfId="10341"/>
    <cellStyle name="40% - Accent5 2 2 2 2 6 3" xfId="21467"/>
    <cellStyle name="40% - Accent5 2 2 2 2 7" xfId="10342"/>
    <cellStyle name="40% - Accent5 2 2 2 2 8" xfId="18869"/>
    <cellStyle name="40% - Accent5 2 2 2 3" xfId="10343"/>
    <cellStyle name="40% - Accent5 2 2 2 3 2" xfId="10344"/>
    <cellStyle name="40% - Accent5 2 2 2 3 2 2" xfId="10345"/>
    <cellStyle name="40% - Accent5 2 2 2 3 2 2 2" xfId="10346"/>
    <cellStyle name="40% - Accent5 2 2 2 3 2 2 2 2" xfId="10347"/>
    <cellStyle name="40% - Accent5 2 2 2 3 2 2 2 2 2" xfId="10348"/>
    <cellStyle name="40% - Accent5 2 2 2 3 2 2 2 2 3" xfId="23805"/>
    <cellStyle name="40% - Accent5 2 2 2 3 2 2 2 3" xfId="10349"/>
    <cellStyle name="40% - Accent5 2 2 2 3 2 2 2 4" xfId="21222"/>
    <cellStyle name="40% - Accent5 2 2 2 3 2 2 3" xfId="10350"/>
    <cellStyle name="40% - Accent5 2 2 2 3 2 2 3 2" xfId="10351"/>
    <cellStyle name="40% - Accent5 2 2 2 3 2 2 3 3" xfId="22515"/>
    <cellStyle name="40% - Accent5 2 2 2 3 2 2 4" xfId="10352"/>
    <cellStyle name="40% - Accent5 2 2 2 3 2 2 5" xfId="19928"/>
    <cellStyle name="40% - Accent5 2 2 2 3 2 3" xfId="10353"/>
    <cellStyle name="40% - Accent5 2 2 2 3 2 3 2" xfId="10354"/>
    <cellStyle name="40% - Accent5 2 2 2 3 2 3 2 2" xfId="10355"/>
    <cellStyle name="40% - Accent5 2 2 2 3 2 3 2 3" xfId="23160"/>
    <cellStyle name="40% - Accent5 2 2 2 3 2 3 3" xfId="10356"/>
    <cellStyle name="40% - Accent5 2 2 2 3 2 3 4" xfId="20577"/>
    <cellStyle name="40% - Accent5 2 2 2 3 2 4" xfId="10357"/>
    <cellStyle name="40% - Accent5 2 2 2 3 2 4 2" xfId="10358"/>
    <cellStyle name="40% - Accent5 2 2 2 3 2 4 3" xfId="21870"/>
    <cellStyle name="40% - Accent5 2 2 2 3 2 5" xfId="10359"/>
    <cellStyle name="40% - Accent5 2 2 2 3 2 6" xfId="19280"/>
    <cellStyle name="40% - Accent5 2 2 2 3 3" xfId="10360"/>
    <cellStyle name="40% - Accent5 2 2 2 3 3 2" xfId="10361"/>
    <cellStyle name="40% - Accent5 2 2 2 3 3 2 2" xfId="10362"/>
    <cellStyle name="40% - Accent5 2 2 2 3 3 2 2 2" xfId="10363"/>
    <cellStyle name="40% - Accent5 2 2 2 3 3 2 2 3" xfId="23483"/>
    <cellStyle name="40% - Accent5 2 2 2 3 3 2 3" xfId="10364"/>
    <cellStyle name="40% - Accent5 2 2 2 3 3 2 4" xfId="20900"/>
    <cellStyle name="40% - Accent5 2 2 2 3 3 3" xfId="10365"/>
    <cellStyle name="40% - Accent5 2 2 2 3 3 3 2" xfId="10366"/>
    <cellStyle name="40% - Accent5 2 2 2 3 3 3 3" xfId="22193"/>
    <cellStyle name="40% - Accent5 2 2 2 3 3 4" xfId="10367"/>
    <cellStyle name="40% - Accent5 2 2 2 3 3 5" xfId="19606"/>
    <cellStyle name="40% - Accent5 2 2 2 3 4" xfId="10368"/>
    <cellStyle name="40% - Accent5 2 2 2 3 4 2" xfId="10369"/>
    <cellStyle name="40% - Accent5 2 2 2 3 4 2 2" xfId="10370"/>
    <cellStyle name="40% - Accent5 2 2 2 3 4 2 3" xfId="22838"/>
    <cellStyle name="40% - Accent5 2 2 2 3 4 3" xfId="10371"/>
    <cellStyle name="40% - Accent5 2 2 2 3 4 4" xfId="20255"/>
    <cellStyle name="40% - Accent5 2 2 2 3 5" xfId="10372"/>
    <cellStyle name="40% - Accent5 2 2 2 3 5 2" xfId="10373"/>
    <cellStyle name="40% - Accent5 2 2 2 3 5 3" xfId="21548"/>
    <cellStyle name="40% - Accent5 2 2 2 3 6" xfId="10374"/>
    <cellStyle name="40% - Accent5 2 2 2 3 7" xfId="18954"/>
    <cellStyle name="40% - Accent5 2 2 2 4" xfId="10375"/>
    <cellStyle name="40% - Accent5 2 2 2 4 2" xfId="10376"/>
    <cellStyle name="40% - Accent5 2 2 2 4 2 2" xfId="10377"/>
    <cellStyle name="40% - Accent5 2 2 2 4 2 2 2" xfId="10378"/>
    <cellStyle name="40% - Accent5 2 2 2 4 2 2 2 2" xfId="10379"/>
    <cellStyle name="40% - Accent5 2 2 2 4 2 2 2 3" xfId="23644"/>
    <cellStyle name="40% - Accent5 2 2 2 4 2 2 3" xfId="10380"/>
    <cellStyle name="40% - Accent5 2 2 2 4 2 2 4" xfId="21061"/>
    <cellStyle name="40% - Accent5 2 2 2 4 2 3" xfId="10381"/>
    <cellStyle name="40% - Accent5 2 2 2 4 2 3 2" xfId="10382"/>
    <cellStyle name="40% - Accent5 2 2 2 4 2 3 3" xfId="22354"/>
    <cellStyle name="40% - Accent5 2 2 2 4 2 4" xfId="10383"/>
    <cellStyle name="40% - Accent5 2 2 2 4 2 5" xfId="19767"/>
    <cellStyle name="40% - Accent5 2 2 2 4 3" xfId="10384"/>
    <cellStyle name="40% - Accent5 2 2 2 4 3 2" xfId="10385"/>
    <cellStyle name="40% - Accent5 2 2 2 4 3 2 2" xfId="10386"/>
    <cellStyle name="40% - Accent5 2 2 2 4 3 2 3" xfId="22999"/>
    <cellStyle name="40% - Accent5 2 2 2 4 3 3" xfId="10387"/>
    <cellStyle name="40% - Accent5 2 2 2 4 3 4" xfId="20416"/>
    <cellStyle name="40% - Accent5 2 2 2 4 4" xfId="10388"/>
    <cellStyle name="40% - Accent5 2 2 2 4 4 2" xfId="10389"/>
    <cellStyle name="40% - Accent5 2 2 2 4 4 3" xfId="21709"/>
    <cellStyle name="40% - Accent5 2 2 2 4 5" xfId="10390"/>
    <cellStyle name="40% - Accent5 2 2 2 4 6" xfId="19119"/>
    <cellStyle name="40% - Accent5 2 2 2 5" xfId="10391"/>
    <cellStyle name="40% - Accent5 2 2 2 5 2" xfId="10392"/>
    <cellStyle name="40% - Accent5 2 2 2 5 2 2" xfId="10393"/>
    <cellStyle name="40% - Accent5 2 2 2 5 2 2 2" xfId="10394"/>
    <cellStyle name="40% - Accent5 2 2 2 5 2 2 3" xfId="23321"/>
    <cellStyle name="40% - Accent5 2 2 2 5 2 3" xfId="10395"/>
    <cellStyle name="40% - Accent5 2 2 2 5 2 4" xfId="20738"/>
    <cellStyle name="40% - Accent5 2 2 2 5 3" xfId="10396"/>
    <cellStyle name="40% - Accent5 2 2 2 5 3 2" xfId="10397"/>
    <cellStyle name="40% - Accent5 2 2 2 5 3 3" xfId="22031"/>
    <cellStyle name="40% - Accent5 2 2 2 5 4" xfId="10398"/>
    <cellStyle name="40% - Accent5 2 2 2 5 5" xfId="19445"/>
    <cellStyle name="40% - Accent5 2 2 2 6" xfId="10399"/>
    <cellStyle name="40% - Accent5 2 2 2 6 2" xfId="10400"/>
    <cellStyle name="40% - Accent5 2 2 2 6 2 2" xfId="10401"/>
    <cellStyle name="40% - Accent5 2 2 2 6 2 3" xfId="22676"/>
    <cellStyle name="40% - Accent5 2 2 2 6 3" xfId="10402"/>
    <cellStyle name="40% - Accent5 2 2 2 6 4" xfId="20093"/>
    <cellStyle name="40% - Accent5 2 2 2 7" xfId="10403"/>
    <cellStyle name="40% - Accent5 2 2 2 7 2" xfId="10404"/>
    <cellStyle name="40% - Accent5 2 2 2 7 3" xfId="21386"/>
    <cellStyle name="40% - Accent5 2 2 2 8" xfId="10405"/>
    <cellStyle name="40% - Accent5 2 2 2 9" xfId="18772"/>
    <cellStyle name="40% - Accent5 2 2 3" xfId="10406"/>
    <cellStyle name="40% - Accent5 2 2 3 2" xfId="10407"/>
    <cellStyle name="40% - Accent5 2 2 3 2 2" xfId="10408"/>
    <cellStyle name="40% - Accent5 2 2 3 2 2 2" xfId="10409"/>
    <cellStyle name="40% - Accent5 2 2 3 2 2 2 2" xfId="10410"/>
    <cellStyle name="40% - Accent5 2 2 3 2 2 2 2 2" xfId="10411"/>
    <cellStyle name="40% - Accent5 2 2 3 2 2 2 2 2 2" xfId="10412"/>
    <cellStyle name="40% - Accent5 2 2 3 2 2 2 2 2 3" xfId="23845"/>
    <cellStyle name="40% - Accent5 2 2 3 2 2 2 2 3" xfId="10413"/>
    <cellStyle name="40% - Accent5 2 2 3 2 2 2 2 4" xfId="21262"/>
    <cellStyle name="40% - Accent5 2 2 3 2 2 2 3" xfId="10414"/>
    <cellStyle name="40% - Accent5 2 2 3 2 2 2 3 2" xfId="10415"/>
    <cellStyle name="40% - Accent5 2 2 3 2 2 2 3 3" xfId="22555"/>
    <cellStyle name="40% - Accent5 2 2 3 2 2 2 4" xfId="10416"/>
    <cellStyle name="40% - Accent5 2 2 3 2 2 2 5" xfId="19968"/>
    <cellStyle name="40% - Accent5 2 2 3 2 2 3" xfId="10417"/>
    <cellStyle name="40% - Accent5 2 2 3 2 2 3 2" xfId="10418"/>
    <cellStyle name="40% - Accent5 2 2 3 2 2 3 2 2" xfId="10419"/>
    <cellStyle name="40% - Accent5 2 2 3 2 2 3 2 3" xfId="23200"/>
    <cellStyle name="40% - Accent5 2 2 3 2 2 3 3" xfId="10420"/>
    <cellStyle name="40% - Accent5 2 2 3 2 2 3 4" xfId="20617"/>
    <cellStyle name="40% - Accent5 2 2 3 2 2 4" xfId="10421"/>
    <cellStyle name="40% - Accent5 2 2 3 2 2 4 2" xfId="10422"/>
    <cellStyle name="40% - Accent5 2 2 3 2 2 4 3" xfId="21910"/>
    <cellStyle name="40% - Accent5 2 2 3 2 2 5" xfId="10423"/>
    <cellStyle name="40% - Accent5 2 2 3 2 2 6" xfId="19320"/>
    <cellStyle name="40% - Accent5 2 2 3 2 3" xfId="10424"/>
    <cellStyle name="40% - Accent5 2 2 3 2 3 2" xfId="10425"/>
    <cellStyle name="40% - Accent5 2 2 3 2 3 2 2" xfId="10426"/>
    <cellStyle name="40% - Accent5 2 2 3 2 3 2 2 2" xfId="10427"/>
    <cellStyle name="40% - Accent5 2 2 3 2 3 2 2 3" xfId="23523"/>
    <cellStyle name="40% - Accent5 2 2 3 2 3 2 3" xfId="10428"/>
    <cellStyle name="40% - Accent5 2 2 3 2 3 2 4" xfId="20940"/>
    <cellStyle name="40% - Accent5 2 2 3 2 3 3" xfId="10429"/>
    <cellStyle name="40% - Accent5 2 2 3 2 3 3 2" xfId="10430"/>
    <cellStyle name="40% - Accent5 2 2 3 2 3 3 3" xfId="22233"/>
    <cellStyle name="40% - Accent5 2 2 3 2 3 4" xfId="10431"/>
    <cellStyle name="40% - Accent5 2 2 3 2 3 5" xfId="19646"/>
    <cellStyle name="40% - Accent5 2 2 3 2 4" xfId="10432"/>
    <cellStyle name="40% - Accent5 2 2 3 2 4 2" xfId="10433"/>
    <cellStyle name="40% - Accent5 2 2 3 2 4 2 2" xfId="10434"/>
    <cellStyle name="40% - Accent5 2 2 3 2 4 2 3" xfId="22878"/>
    <cellStyle name="40% - Accent5 2 2 3 2 4 3" xfId="10435"/>
    <cellStyle name="40% - Accent5 2 2 3 2 4 4" xfId="20295"/>
    <cellStyle name="40% - Accent5 2 2 3 2 5" xfId="10436"/>
    <cellStyle name="40% - Accent5 2 2 3 2 5 2" xfId="10437"/>
    <cellStyle name="40% - Accent5 2 2 3 2 5 3" xfId="21588"/>
    <cellStyle name="40% - Accent5 2 2 3 2 6" xfId="10438"/>
    <cellStyle name="40% - Accent5 2 2 3 2 7" xfId="18994"/>
    <cellStyle name="40% - Accent5 2 2 3 3" xfId="10439"/>
    <cellStyle name="40% - Accent5 2 2 3 3 2" xfId="10440"/>
    <cellStyle name="40% - Accent5 2 2 3 3 2 2" xfId="10441"/>
    <cellStyle name="40% - Accent5 2 2 3 3 2 2 2" xfId="10442"/>
    <cellStyle name="40% - Accent5 2 2 3 3 2 2 2 2" xfId="10443"/>
    <cellStyle name="40% - Accent5 2 2 3 3 2 2 2 3" xfId="23684"/>
    <cellStyle name="40% - Accent5 2 2 3 3 2 2 3" xfId="10444"/>
    <cellStyle name="40% - Accent5 2 2 3 3 2 2 4" xfId="21101"/>
    <cellStyle name="40% - Accent5 2 2 3 3 2 3" xfId="10445"/>
    <cellStyle name="40% - Accent5 2 2 3 3 2 3 2" xfId="10446"/>
    <cellStyle name="40% - Accent5 2 2 3 3 2 3 3" xfId="22394"/>
    <cellStyle name="40% - Accent5 2 2 3 3 2 4" xfId="10447"/>
    <cellStyle name="40% - Accent5 2 2 3 3 2 5" xfId="19807"/>
    <cellStyle name="40% - Accent5 2 2 3 3 3" xfId="10448"/>
    <cellStyle name="40% - Accent5 2 2 3 3 3 2" xfId="10449"/>
    <cellStyle name="40% - Accent5 2 2 3 3 3 2 2" xfId="10450"/>
    <cellStyle name="40% - Accent5 2 2 3 3 3 2 3" xfId="23039"/>
    <cellStyle name="40% - Accent5 2 2 3 3 3 3" xfId="10451"/>
    <cellStyle name="40% - Accent5 2 2 3 3 3 4" xfId="20456"/>
    <cellStyle name="40% - Accent5 2 2 3 3 4" xfId="10452"/>
    <cellStyle name="40% - Accent5 2 2 3 3 4 2" xfId="10453"/>
    <cellStyle name="40% - Accent5 2 2 3 3 4 3" xfId="21749"/>
    <cellStyle name="40% - Accent5 2 2 3 3 5" xfId="10454"/>
    <cellStyle name="40% - Accent5 2 2 3 3 6" xfId="19159"/>
    <cellStyle name="40% - Accent5 2 2 3 4" xfId="10455"/>
    <cellStyle name="40% - Accent5 2 2 3 4 2" xfId="10456"/>
    <cellStyle name="40% - Accent5 2 2 3 4 2 2" xfId="10457"/>
    <cellStyle name="40% - Accent5 2 2 3 4 2 2 2" xfId="10458"/>
    <cellStyle name="40% - Accent5 2 2 3 4 2 2 3" xfId="23362"/>
    <cellStyle name="40% - Accent5 2 2 3 4 2 3" xfId="10459"/>
    <cellStyle name="40% - Accent5 2 2 3 4 2 4" xfId="20779"/>
    <cellStyle name="40% - Accent5 2 2 3 4 3" xfId="10460"/>
    <cellStyle name="40% - Accent5 2 2 3 4 3 2" xfId="10461"/>
    <cellStyle name="40% - Accent5 2 2 3 4 3 3" xfId="22072"/>
    <cellStyle name="40% - Accent5 2 2 3 4 4" xfId="10462"/>
    <cellStyle name="40% - Accent5 2 2 3 4 5" xfId="19485"/>
    <cellStyle name="40% - Accent5 2 2 3 5" xfId="10463"/>
    <cellStyle name="40% - Accent5 2 2 3 5 2" xfId="10464"/>
    <cellStyle name="40% - Accent5 2 2 3 5 2 2" xfId="10465"/>
    <cellStyle name="40% - Accent5 2 2 3 5 2 3" xfId="22717"/>
    <cellStyle name="40% - Accent5 2 2 3 5 3" xfId="10466"/>
    <cellStyle name="40% - Accent5 2 2 3 5 4" xfId="20134"/>
    <cellStyle name="40% - Accent5 2 2 3 6" xfId="10467"/>
    <cellStyle name="40% - Accent5 2 2 3 6 2" xfId="10468"/>
    <cellStyle name="40% - Accent5 2 2 3 6 3" xfId="21427"/>
    <cellStyle name="40% - Accent5 2 2 3 7" xfId="10469"/>
    <cellStyle name="40% - Accent5 2 2 3 8" xfId="18828"/>
    <cellStyle name="40% - Accent5 2 2 4" xfId="10470"/>
    <cellStyle name="40% - Accent5 2 2 4 2" xfId="10471"/>
    <cellStyle name="40% - Accent5 2 2 4 2 2" xfId="10472"/>
    <cellStyle name="40% - Accent5 2 2 4 2 2 2" xfId="10473"/>
    <cellStyle name="40% - Accent5 2 2 4 2 2 2 2" xfId="10474"/>
    <cellStyle name="40% - Accent5 2 2 4 2 2 2 2 2" xfId="10475"/>
    <cellStyle name="40% - Accent5 2 2 4 2 2 2 2 3" xfId="23765"/>
    <cellStyle name="40% - Accent5 2 2 4 2 2 2 3" xfId="10476"/>
    <cellStyle name="40% - Accent5 2 2 4 2 2 2 4" xfId="21182"/>
    <cellStyle name="40% - Accent5 2 2 4 2 2 3" xfId="10477"/>
    <cellStyle name="40% - Accent5 2 2 4 2 2 3 2" xfId="10478"/>
    <cellStyle name="40% - Accent5 2 2 4 2 2 3 3" xfId="22475"/>
    <cellStyle name="40% - Accent5 2 2 4 2 2 4" xfId="10479"/>
    <cellStyle name="40% - Accent5 2 2 4 2 2 5" xfId="19888"/>
    <cellStyle name="40% - Accent5 2 2 4 2 3" xfId="10480"/>
    <cellStyle name="40% - Accent5 2 2 4 2 3 2" xfId="10481"/>
    <cellStyle name="40% - Accent5 2 2 4 2 3 2 2" xfId="10482"/>
    <cellStyle name="40% - Accent5 2 2 4 2 3 2 3" xfId="23120"/>
    <cellStyle name="40% - Accent5 2 2 4 2 3 3" xfId="10483"/>
    <cellStyle name="40% - Accent5 2 2 4 2 3 4" xfId="20537"/>
    <cellStyle name="40% - Accent5 2 2 4 2 4" xfId="10484"/>
    <cellStyle name="40% - Accent5 2 2 4 2 4 2" xfId="10485"/>
    <cellStyle name="40% - Accent5 2 2 4 2 4 3" xfId="21830"/>
    <cellStyle name="40% - Accent5 2 2 4 2 5" xfId="10486"/>
    <cellStyle name="40% - Accent5 2 2 4 2 6" xfId="19240"/>
    <cellStyle name="40% - Accent5 2 2 4 3" xfId="10487"/>
    <cellStyle name="40% - Accent5 2 2 4 3 2" xfId="10488"/>
    <cellStyle name="40% - Accent5 2 2 4 3 2 2" xfId="10489"/>
    <cellStyle name="40% - Accent5 2 2 4 3 2 2 2" xfId="10490"/>
    <cellStyle name="40% - Accent5 2 2 4 3 2 2 3" xfId="23443"/>
    <cellStyle name="40% - Accent5 2 2 4 3 2 3" xfId="10491"/>
    <cellStyle name="40% - Accent5 2 2 4 3 2 4" xfId="20860"/>
    <cellStyle name="40% - Accent5 2 2 4 3 3" xfId="10492"/>
    <cellStyle name="40% - Accent5 2 2 4 3 3 2" xfId="10493"/>
    <cellStyle name="40% - Accent5 2 2 4 3 3 3" xfId="22153"/>
    <cellStyle name="40% - Accent5 2 2 4 3 4" xfId="10494"/>
    <cellStyle name="40% - Accent5 2 2 4 3 5" xfId="19566"/>
    <cellStyle name="40% - Accent5 2 2 4 4" xfId="10495"/>
    <cellStyle name="40% - Accent5 2 2 4 4 2" xfId="10496"/>
    <cellStyle name="40% - Accent5 2 2 4 4 2 2" xfId="10497"/>
    <cellStyle name="40% - Accent5 2 2 4 4 2 3" xfId="22798"/>
    <cellStyle name="40% - Accent5 2 2 4 4 3" xfId="10498"/>
    <cellStyle name="40% - Accent5 2 2 4 4 4" xfId="20215"/>
    <cellStyle name="40% - Accent5 2 2 4 5" xfId="10499"/>
    <cellStyle name="40% - Accent5 2 2 4 5 2" xfId="10500"/>
    <cellStyle name="40% - Accent5 2 2 4 5 3" xfId="21508"/>
    <cellStyle name="40% - Accent5 2 2 4 6" xfId="10501"/>
    <cellStyle name="40% - Accent5 2 2 4 7" xfId="18914"/>
    <cellStyle name="40% - Accent5 2 2 5" xfId="10502"/>
    <cellStyle name="40% - Accent5 2 2 5 2" xfId="10503"/>
    <cellStyle name="40% - Accent5 2 2 5 2 2" xfId="10504"/>
    <cellStyle name="40% - Accent5 2 2 5 2 2 2" xfId="10505"/>
    <cellStyle name="40% - Accent5 2 2 5 2 2 2 2" xfId="10506"/>
    <cellStyle name="40% - Accent5 2 2 5 2 2 2 3" xfId="23604"/>
    <cellStyle name="40% - Accent5 2 2 5 2 2 3" xfId="10507"/>
    <cellStyle name="40% - Accent5 2 2 5 2 2 4" xfId="21021"/>
    <cellStyle name="40% - Accent5 2 2 5 2 3" xfId="10508"/>
    <cellStyle name="40% - Accent5 2 2 5 2 3 2" xfId="10509"/>
    <cellStyle name="40% - Accent5 2 2 5 2 3 3" xfId="22314"/>
    <cellStyle name="40% - Accent5 2 2 5 2 4" xfId="10510"/>
    <cellStyle name="40% - Accent5 2 2 5 2 5" xfId="19727"/>
    <cellStyle name="40% - Accent5 2 2 5 3" xfId="10511"/>
    <cellStyle name="40% - Accent5 2 2 5 3 2" xfId="10512"/>
    <cellStyle name="40% - Accent5 2 2 5 3 2 2" xfId="10513"/>
    <cellStyle name="40% - Accent5 2 2 5 3 2 3" xfId="22959"/>
    <cellStyle name="40% - Accent5 2 2 5 3 3" xfId="10514"/>
    <cellStyle name="40% - Accent5 2 2 5 3 4" xfId="20376"/>
    <cellStyle name="40% - Accent5 2 2 5 4" xfId="10515"/>
    <cellStyle name="40% - Accent5 2 2 5 4 2" xfId="10516"/>
    <cellStyle name="40% - Accent5 2 2 5 4 3" xfId="21669"/>
    <cellStyle name="40% - Accent5 2 2 5 5" xfId="10517"/>
    <cellStyle name="40% - Accent5 2 2 5 6" xfId="19079"/>
    <cellStyle name="40% - Accent5 2 2 6" xfId="10518"/>
    <cellStyle name="40% - Accent5 2 2 6 2" xfId="10519"/>
    <cellStyle name="40% - Accent5 2 2 6 2 2" xfId="10520"/>
    <cellStyle name="40% - Accent5 2 2 6 2 2 2" xfId="10521"/>
    <cellStyle name="40% - Accent5 2 2 6 2 2 3" xfId="23281"/>
    <cellStyle name="40% - Accent5 2 2 6 2 3" xfId="10522"/>
    <cellStyle name="40% - Accent5 2 2 6 2 4" xfId="20698"/>
    <cellStyle name="40% - Accent5 2 2 6 3" xfId="10523"/>
    <cellStyle name="40% - Accent5 2 2 6 3 2" xfId="10524"/>
    <cellStyle name="40% - Accent5 2 2 6 3 3" xfId="21991"/>
    <cellStyle name="40% - Accent5 2 2 6 4" xfId="10525"/>
    <cellStyle name="40% - Accent5 2 2 6 5" xfId="19405"/>
    <cellStyle name="40% - Accent5 2 2 7" xfId="10526"/>
    <cellStyle name="40% - Accent5 2 2 7 2" xfId="10527"/>
    <cellStyle name="40% - Accent5 2 2 7 2 2" xfId="10528"/>
    <cellStyle name="40% - Accent5 2 2 7 2 3" xfId="22636"/>
    <cellStyle name="40% - Accent5 2 2 7 3" xfId="10529"/>
    <cellStyle name="40% - Accent5 2 2 7 4" xfId="20053"/>
    <cellStyle name="40% - Accent5 2 2 8" xfId="10530"/>
    <cellStyle name="40% - Accent5 2 2 8 2" xfId="10531"/>
    <cellStyle name="40% - Accent5 2 2 8 3" xfId="21346"/>
    <cellStyle name="40% - Accent5 2 2 9" xfId="10532"/>
    <cellStyle name="40% - Accent5 2 3" xfId="10533"/>
    <cellStyle name="40% - Accent5 2 3 2" xfId="10534"/>
    <cellStyle name="40% - Accent5 2 3 2 2" xfId="10535"/>
    <cellStyle name="40% - Accent5 2 3 2 2 2" xfId="10536"/>
    <cellStyle name="40% - Accent5 2 3 2 2 2 2" xfId="10537"/>
    <cellStyle name="40% - Accent5 2 3 2 2 2 2 2" xfId="10538"/>
    <cellStyle name="40% - Accent5 2 3 2 2 2 2 2 2" xfId="10539"/>
    <cellStyle name="40% - Accent5 2 3 2 2 2 2 2 2 2" xfId="10540"/>
    <cellStyle name="40% - Accent5 2 3 2 2 2 2 2 2 3" xfId="23865"/>
    <cellStyle name="40% - Accent5 2 3 2 2 2 2 2 3" xfId="10541"/>
    <cellStyle name="40% - Accent5 2 3 2 2 2 2 2 4" xfId="21282"/>
    <cellStyle name="40% - Accent5 2 3 2 2 2 2 3" xfId="10542"/>
    <cellStyle name="40% - Accent5 2 3 2 2 2 2 3 2" xfId="10543"/>
    <cellStyle name="40% - Accent5 2 3 2 2 2 2 3 3" xfId="22575"/>
    <cellStyle name="40% - Accent5 2 3 2 2 2 2 4" xfId="10544"/>
    <cellStyle name="40% - Accent5 2 3 2 2 2 2 5" xfId="19988"/>
    <cellStyle name="40% - Accent5 2 3 2 2 2 3" xfId="10545"/>
    <cellStyle name="40% - Accent5 2 3 2 2 2 3 2" xfId="10546"/>
    <cellStyle name="40% - Accent5 2 3 2 2 2 3 2 2" xfId="10547"/>
    <cellStyle name="40% - Accent5 2 3 2 2 2 3 2 3" xfId="23220"/>
    <cellStyle name="40% - Accent5 2 3 2 2 2 3 3" xfId="10548"/>
    <cellStyle name="40% - Accent5 2 3 2 2 2 3 4" xfId="20637"/>
    <cellStyle name="40% - Accent5 2 3 2 2 2 4" xfId="10549"/>
    <cellStyle name="40% - Accent5 2 3 2 2 2 4 2" xfId="10550"/>
    <cellStyle name="40% - Accent5 2 3 2 2 2 4 3" xfId="21930"/>
    <cellStyle name="40% - Accent5 2 3 2 2 2 5" xfId="10551"/>
    <cellStyle name="40% - Accent5 2 3 2 2 2 6" xfId="19340"/>
    <cellStyle name="40% - Accent5 2 3 2 2 3" xfId="10552"/>
    <cellStyle name="40% - Accent5 2 3 2 2 3 2" xfId="10553"/>
    <cellStyle name="40% - Accent5 2 3 2 2 3 2 2" xfId="10554"/>
    <cellStyle name="40% - Accent5 2 3 2 2 3 2 2 2" xfId="10555"/>
    <cellStyle name="40% - Accent5 2 3 2 2 3 2 2 3" xfId="23543"/>
    <cellStyle name="40% - Accent5 2 3 2 2 3 2 3" xfId="10556"/>
    <cellStyle name="40% - Accent5 2 3 2 2 3 2 4" xfId="20960"/>
    <cellStyle name="40% - Accent5 2 3 2 2 3 3" xfId="10557"/>
    <cellStyle name="40% - Accent5 2 3 2 2 3 3 2" xfId="10558"/>
    <cellStyle name="40% - Accent5 2 3 2 2 3 3 3" xfId="22253"/>
    <cellStyle name="40% - Accent5 2 3 2 2 3 4" xfId="10559"/>
    <cellStyle name="40% - Accent5 2 3 2 2 3 5" xfId="19666"/>
    <cellStyle name="40% - Accent5 2 3 2 2 4" xfId="10560"/>
    <cellStyle name="40% - Accent5 2 3 2 2 4 2" xfId="10561"/>
    <cellStyle name="40% - Accent5 2 3 2 2 4 2 2" xfId="10562"/>
    <cellStyle name="40% - Accent5 2 3 2 2 4 2 3" xfId="22898"/>
    <cellStyle name="40% - Accent5 2 3 2 2 4 3" xfId="10563"/>
    <cellStyle name="40% - Accent5 2 3 2 2 4 4" xfId="20315"/>
    <cellStyle name="40% - Accent5 2 3 2 2 5" xfId="10564"/>
    <cellStyle name="40% - Accent5 2 3 2 2 5 2" xfId="10565"/>
    <cellStyle name="40% - Accent5 2 3 2 2 5 3" xfId="21608"/>
    <cellStyle name="40% - Accent5 2 3 2 2 6" xfId="10566"/>
    <cellStyle name="40% - Accent5 2 3 2 2 7" xfId="19014"/>
    <cellStyle name="40% - Accent5 2 3 2 3" xfId="10567"/>
    <cellStyle name="40% - Accent5 2 3 2 3 2" xfId="10568"/>
    <cellStyle name="40% - Accent5 2 3 2 3 2 2" xfId="10569"/>
    <cellStyle name="40% - Accent5 2 3 2 3 2 2 2" xfId="10570"/>
    <cellStyle name="40% - Accent5 2 3 2 3 2 2 2 2" xfId="10571"/>
    <cellStyle name="40% - Accent5 2 3 2 3 2 2 2 3" xfId="23704"/>
    <cellStyle name="40% - Accent5 2 3 2 3 2 2 3" xfId="10572"/>
    <cellStyle name="40% - Accent5 2 3 2 3 2 2 4" xfId="21121"/>
    <cellStyle name="40% - Accent5 2 3 2 3 2 3" xfId="10573"/>
    <cellStyle name="40% - Accent5 2 3 2 3 2 3 2" xfId="10574"/>
    <cellStyle name="40% - Accent5 2 3 2 3 2 3 3" xfId="22414"/>
    <cellStyle name="40% - Accent5 2 3 2 3 2 4" xfId="10575"/>
    <cellStyle name="40% - Accent5 2 3 2 3 2 5" xfId="19827"/>
    <cellStyle name="40% - Accent5 2 3 2 3 3" xfId="10576"/>
    <cellStyle name="40% - Accent5 2 3 2 3 3 2" xfId="10577"/>
    <cellStyle name="40% - Accent5 2 3 2 3 3 2 2" xfId="10578"/>
    <cellStyle name="40% - Accent5 2 3 2 3 3 2 3" xfId="23059"/>
    <cellStyle name="40% - Accent5 2 3 2 3 3 3" xfId="10579"/>
    <cellStyle name="40% - Accent5 2 3 2 3 3 4" xfId="20476"/>
    <cellStyle name="40% - Accent5 2 3 2 3 4" xfId="10580"/>
    <cellStyle name="40% - Accent5 2 3 2 3 4 2" xfId="10581"/>
    <cellStyle name="40% - Accent5 2 3 2 3 4 3" xfId="21769"/>
    <cellStyle name="40% - Accent5 2 3 2 3 5" xfId="10582"/>
    <cellStyle name="40% - Accent5 2 3 2 3 6" xfId="19179"/>
    <cellStyle name="40% - Accent5 2 3 2 4" xfId="10583"/>
    <cellStyle name="40% - Accent5 2 3 2 4 2" xfId="10584"/>
    <cellStyle name="40% - Accent5 2 3 2 4 2 2" xfId="10585"/>
    <cellStyle name="40% - Accent5 2 3 2 4 2 2 2" xfId="10586"/>
    <cellStyle name="40% - Accent5 2 3 2 4 2 2 3" xfId="23382"/>
    <cellStyle name="40% - Accent5 2 3 2 4 2 3" xfId="10587"/>
    <cellStyle name="40% - Accent5 2 3 2 4 2 4" xfId="20799"/>
    <cellStyle name="40% - Accent5 2 3 2 4 3" xfId="10588"/>
    <cellStyle name="40% - Accent5 2 3 2 4 3 2" xfId="10589"/>
    <cellStyle name="40% - Accent5 2 3 2 4 3 3" xfId="22092"/>
    <cellStyle name="40% - Accent5 2 3 2 4 4" xfId="10590"/>
    <cellStyle name="40% - Accent5 2 3 2 4 5" xfId="19505"/>
    <cellStyle name="40% - Accent5 2 3 2 5" xfId="10591"/>
    <cellStyle name="40% - Accent5 2 3 2 5 2" xfId="10592"/>
    <cellStyle name="40% - Accent5 2 3 2 5 2 2" xfId="10593"/>
    <cellStyle name="40% - Accent5 2 3 2 5 2 3" xfId="22737"/>
    <cellStyle name="40% - Accent5 2 3 2 5 3" xfId="10594"/>
    <cellStyle name="40% - Accent5 2 3 2 5 4" xfId="20154"/>
    <cellStyle name="40% - Accent5 2 3 2 6" xfId="10595"/>
    <cellStyle name="40% - Accent5 2 3 2 6 2" xfId="10596"/>
    <cellStyle name="40% - Accent5 2 3 2 6 3" xfId="21447"/>
    <cellStyle name="40% - Accent5 2 3 2 7" xfId="10597"/>
    <cellStyle name="40% - Accent5 2 3 2 8" xfId="18849"/>
    <cellStyle name="40% - Accent5 2 3 3" xfId="10598"/>
    <cellStyle name="40% - Accent5 2 3 3 2" xfId="10599"/>
    <cellStyle name="40% - Accent5 2 3 3 2 2" xfId="10600"/>
    <cellStyle name="40% - Accent5 2 3 3 2 2 2" xfId="10601"/>
    <cellStyle name="40% - Accent5 2 3 3 2 2 2 2" xfId="10602"/>
    <cellStyle name="40% - Accent5 2 3 3 2 2 2 2 2" xfId="10603"/>
    <cellStyle name="40% - Accent5 2 3 3 2 2 2 2 3" xfId="23785"/>
    <cellStyle name="40% - Accent5 2 3 3 2 2 2 3" xfId="10604"/>
    <cellStyle name="40% - Accent5 2 3 3 2 2 2 4" xfId="21202"/>
    <cellStyle name="40% - Accent5 2 3 3 2 2 3" xfId="10605"/>
    <cellStyle name="40% - Accent5 2 3 3 2 2 3 2" xfId="10606"/>
    <cellStyle name="40% - Accent5 2 3 3 2 2 3 3" xfId="22495"/>
    <cellStyle name="40% - Accent5 2 3 3 2 2 4" xfId="10607"/>
    <cellStyle name="40% - Accent5 2 3 3 2 2 5" xfId="19908"/>
    <cellStyle name="40% - Accent5 2 3 3 2 3" xfId="10608"/>
    <cellStyle name="40% - Accent5 2 3 3 2 3 2" xfId="10609"/>
    <cellStyle name="40% - Accent5 2 3 3 2 3 2 2" xfId="10610"/>
    <cellStyle name="40% - Accent5 2 3 3 2 3 2 3" xfId="23140"/>
    <cellStyle name="40% - Accent5 2 3 3 2 3 3" xfId="10611"/>
    <cellStyle name="40% - Accent5 2 3 3 2 3 4" xfId="20557"/>
    <cellStyle name="40% - Accent5 2 3 3 2 4" xfId="10612"/>
    <cellStyle name="40% - Accent5 2 3 3 2 4 2" xfId="10613"/>
    <cellStyle name="40% - Accent5 2 3 3 2 4 3" xfId="21850"/>
    <cellStyle name="40% - Accent5 2 3 3 2 5" xfId="10614"/>
    <cellStyle name="40% - Accent5 2 3 3 2 6" xfId="19260"/>
    <cellStyle name="40% - Accent5 2 3 3 3" xfId="10615"/>
    <cellStyle name="40% - Accent5 2 3 3 3 2" xfId="10616"/>
    <cellStyle name="40% - Accent5 2 3 3 3 2 2" xfId="10617"/>
    <cellStyle name="40% - Accent5 2 3 3 3 2 2 2" xfId="10618"/>
    <cellStyle name="40% - Accent5 2 3 3 3 2 2 3" xfId="23463"/>
    <cellStyle name="40% - Accent5 2 3 3 3 2 3" xfId="10619"/>
    <cellStyle name="40% - Accent5 2 3 3 3 2 4" xfId="20880"/>
    <cellStyle name="40% - Accent5 2 3 3 3 3" xfId="10620"/>
    <cellStyle name="40% - Accent5 2 3 3 3 3 2" xfId="10621"/>
    <cellStyle name="40% - Accent5 2 3 3 3 3 3" xfId="22173"/>
    <cellStyle name="40% - Accent5 2 3 3 3 4" xfId="10622"/>
    <cellStyle name="40% - Accent5 2 3 3 3 5" xfId="19586"/>
    <cellStyle name="40% - Accent5 2 3 3 4" xfId="10623"/>
    <cellStyle name="40% - Accent5 2 3 3 4 2" xfId="10624"/>
    <cellStyle name="40% - Accent5 2 3 3 4 2 2" xfId="10625"/>
    <cellStyle name="40% - Accent5 2 3 3 4 2 3" xfId="22818"/>
    <cellStyle name="40% - Accent5 2 3 3 4 3" xfId="10626"/>
    <cellStyle name="40% - Accent5 2 3 3 4 4" xfId="20235"/>
    <cellStyle name="40% - Accent5 2 3 3 5" xfId="10627"/>
    <cellStyle name="40% - Accent5 2 3 3 5 2" xfId="10628"/>
    <cellStyle name="40% - Accent5 2 3 3 5 3" xfId="21528"/>
    <cellStyle name="40% - Accent5 2 3 3 6" xfId="10629"/>
    <cellStyle name="40% - Accent5 2 3 3 7" xfId="18934"/>
    <cellStyle name="40% - Accent5 2 3 4" xfId="10630"/>
    <cellStyle name="40% - Accent5 2 3 4 2" xfId="10631"/>
    <cellStyle name="40% - Accent5 2 3 4 2 2" xfId="10632"/>
    <cellStyle name="40% - Accent5 2 3 4 2 2 2" xfId="10633"/>
    <cellStyle name="40% - Accent5 2 3 4 2 2 2 2" xfId="10634"/>
    <cellStyle name="40% - Accent5 2 3 4 2 2 2 3" xfId="23624"/>
    <cellStyle name="40% - Accent5 2 3 4 2 2 3" xfId="10635"/>
    <cellStyle name="40% - Accent5 2 3 4 2 2 4" xfId="21041"/>
    <cellStyle name="40% - Accent5 2 3 4 2 3" xfId="10636"/>
    <cellStyle name="40% - Accent5 2 3 4 2 3 2" xfId="10637"/>
    <cellStyle name="40% - Accent5 2 3 4 2 3 3" xfId="22334"/>
    <cellStyle name="40% - Accent5 2 3 4 2 4" xfId="10638"/>
    <cellStyle name="40% - Accent5 2 3 4 2 5" xfId="19747"/>
    <cellStyle name="40% - Accent5 2 3 4 3" xfId="10639"/>
    <cellStyle name="40% - Accent5 2 3 4 3 2" xfId="10640"/>
    <cellStyle name="40% - Accent5 2 3 4 3 2 2" xfId="10641"/>
    <cellStyle name="40% - Accent5 2 3 4 3 2 3" xfId="22979"/>
    <cellStyle name="40% - Accent5 2 3 4 3 3" xfId="10642"/>
    <cellStyle name="40% - Accent5 2 3 4 3 4" xfId="20396"/>
    <cellStyle name="40% - Accent5 2 3 4 4" xfId="10643"/>
    <cellStyle name="40% - Accent5 2 3 4 4 2" xfId="10644"/>
    <cellStyle name="40% - Accent5 2 3 4 4 3" xfId="21689"/>
    <cellStyle name="40% - Accent5 2 3 4 5" xfId="10645"/>
    <cellStyle name="40% - Accent5 2 3 4 6" xfId="19099"/>
    <cellStyle name="40% - Accent5 2 3 5" xfId="10646"/>
    <cellStyle name="40% - Accent5 2 3 5 2" xfId="10647"/>
    <cellStyle name="40% - Accent5 2 3 5 2 2" xfId="10648"/>
    <cellStyle name="40% - Accent5 2 3 5 2 2 2" xfId="10649"/>
    <cellStyle name="40% - Accent5 2 3 5 2 2 3" xfId="23301"/>
    <cellStyle name="40% - Accent5 2 3 5 2 3" xfId="10650"/>
    <cellStyle name="40% - Accent5 2 3 5 2 4" xfId="20718"/>
    <cellStyle name="40% - Accent5 2 3 5 3" xfId="10651"/>
    <cellStyle name="40% - Accent5 2 3 5 3 2" xfId="10652"/>
    <cellStyle name="40% - Accent5 2 3 5 3 3" xfId="22011"/>
    <cellStyle name="40% - Accent5 2 3 5 4" xfId="10653"/>
    <cellStyle name="40% - Accent5 2 3 5 5" xfId="19425"/>
    <cellStyle name="40% - Accent5 2 3 6" xfId="10654"/>
    <cellStyle name="40% - Accent5 2 3 6 2" xfId="10655"/>
    <cellStyle name="40% - Accent5 2 3 6 2 2" xfId="10656"/>
    <cellStyle name="40% - Accent5 2 3 6 2 3" xfId="22656"/>
    <cellStyle name="40% - Accent5 2 3 6 3" xfId="10657"/>
    <cellStyle name="40% - Accent5 2 3 6 4" xfId="20073"/>
    <cellStyle name="40% - Accent5 2 3 7" xfId="10658"/>
    <cellStyle name="40% - Accent5 2 3 7 2" xfId="10659"/>
    <cellStyle name="40% - Accent5 2 3 7 3" xfId="21366"/>
    <cellStyle name="40% - Accent5 2 3 8" xfId="10660"/>
    <cellStyle name="40% - Accent5 2 3 9" xfId="18752"/>
    <cellStyle name="40% - Accent5 2 4" xfId="10661"/>
    <cellStyle name="40% - Accent5 2 4 2" xfId="10662"/>
    <cellStyle name="40% - Accent5 2 4 2 2" xfId="10663"/>
    <cellStyle name="40% - Accent5 2 4 2 2 2" xfId="10664"/>
    <cellStyle name="40% - Accent5 2 4 2 2 2 2" xfId="10665"/>
    <cellStyle name="40% - Accent5 2 4 2 2 2 2 2" xfId="10666"/>
    <cellStyle name="40% - Accent5 2 4 2 2 2 2 2 2" xfId="10667"/>
    <cellStyle name="40% - Accent5 2 4 2 2 2 2 2 3" xfId="23825"/>
    <cellStyle name="40% - Accent5 2 4 2 2 2 2 3" xfId="10668"/>
    <cellStyle name="40% - Accent5 2 4 2 2 2 2 4" xfId="21242"/>
    <cellStyle name="40% - Accent5 2 4 2 2 2 3" xfId="10669"/>
    <cellStyle name="40% - Accent5 2 4 2 2 2 3 2" xfId="10670"/>
    <cellStyle name="40% - Accent5 2 4 2 2 2 3 3" xfId="22535"/>
    <cellStyle name="40% - Accent5 2 4 2 2 2 4" xfId="10671"/>
    <cellStyle name="40% - Accent5 2 4 2 2 2 5" xfId="19948"/>
    <cellStyle name="40% - Accent5 2 4 2 2 3" xfId="10672"/>
    <cellStyle name="40% - Accent5 2 4 2 2 3 2" xfId="10673"/>
    <cellStyle name="40% - Accent5 2 4 2 2 3 2 2" xfId="10674"/>
    <cellStyle name="40% - Accent5 2 4 2 2 3 2 3" xfId="23180"/>
    <cellStyle name="40% - Accent5 2 4 2 2 3 3" xfId="10675"/>
    <cellStyle name="40% - Accent5 2 4 2 2 3 4" xfId="20597"/>
    <cellStyle name="40% - Accent5 2 4 2 2 4" xfId="10676"/>
    <cellStyle name="40% - Accent5 2 4 2 2 4 2" xfId="10677"/>
    <cellStyle name="40% - Accent5 2 4 2 2 4 3" xfId="21890"/>
    <cellStyle name="40% - Accent5 2 4 2 2 5" xfId="10678"/>
    <cellStyle name="40% - Accent5 2 4 2 2 6" xfId="19300"/>
    <cellStyle name="40% - Accent5 2 4 2 3" xfId="10679"/>
    <cellStyle name="40% - Accent5 2 4 2 3 2" xfId="10680"/>
    <cellStyle name="40% - Accent5 2 4 2 3 2 2" xfId="10681"/>
    <cellStyle name="40% - Accent5 2 4 2 3 2 2 2" xfId="10682"/>
    <cellStyle name="40% - Accent5 2 4 2 3 2 2 3" xfId="23503"/>
    <cellStyle name="40% - Accent5 2 4 2 3 2 3" xfId="10683"/>
    <cellStyle name="40% - Accent5 2 4 2 3 2 4" xfId="20920"/>
    <cellStyle name="40% - Accent5 2 4 2 3 3" xfId="10684"/>
    <cellStyle name="40% - Accent5 2 4 2 3 3 2" xfId="10685"/>
    <cellStyle name="40% - Accent5 2 4 2 3 3 3" xfId="22213"/>
    <cellStyle name="40% - Accent5 2 4 2 3 4" xfId="10686"/>
    <cellStyle name="40% - Accent5 2 4 2 3 5" xfId="19626"/>
    <cellStyle name="40% - Accent5 2 4 2 4" xfId="10687"/>
    <cellStyle name="40% - Accent5 2 4 2 4 2" xfId="10688"/>
    <cellStyle name="40% - Accent5 2 4 2 4 2 2" xfId="10689"/>
    <cellStyle name="40% - Accent5 2 4 2 4 2 3" xfId="22858"/>
    <cellStyle name="40% - Accent5 2 4 2 4 3" xfId="10690"/>
    <cellStyle name="40% - Accent5 2 4 2 4 4" xfId="20275"/>
    <cellStyle name="40% - Accent5 2 4 2 5" xfId="10691"/>
    <cellStyle name="40% - Accent5 2 4 2 5 2" xfId="10692"/>
    <cellStyle name="40% - Accent5 2 4 2 5 3" xfId="21568"/>
    <cellStyle name="40% - Accent5 2 4 2 6" xfId="10693"/>
    <cellStyle name="40% - Accent5 2 4 2 7" xfId="18974"/>
    <cellStyle name="40% - Accent5 2 4 3" xfId="10694"/>
    <cellStyle name="40% - Accent5 2 4 3 2" xfId="10695"/>
    <cellStyle name="40% - Accent5 2 4 3 2 2" xfId="10696"/>
    <cellStyle name="40% - Accent5 2 4 3 2 2 2" xfId="10697"/>
    <cellStyle name="40% - Accent5 2 4 3 2 2 2 2" xfId="10698"/>
    <cellStyle name="40% - Accent5 2 4 3 2 2 2 3" xfId="23664"/>
    <cellStyle name="40% - Accent5 2 4 3 2 2 3" xfId="10699"/>
    <cellStyle name="40% - Accent5 2 4 3 2 2 4" xfId="21081"/>
    <cellStyle name="40% - Accent5 2 4 3 2 3" xfId="10700"/>
    <cellStyle name="40% - Accent5 2 4 3 2 3 2" xfId="10701"/>
    <cellStyle name="40% - Accent5 2 4 3 2 3 3" xfId="22374"/>
    <cellStyle name="40% - Accent5 2 4 3 2 4" xfId="10702"/>
    <cellStyle name="40% - Accent5 2 4 3 2 5" xfId="19787"/>
    <cellStyle name="40% - Accent5 2 4 3 3" xfId="10703"/>
    <cellStyle name="40% - Accent5 2 4 3 3 2" xfId="10704"/>
    <cellStyle name="40% - Accent5 2 4 3 3 2 2" xfId="10705"/>
    <cellStyle name="40% - Accent5 2 4 3 3 2 3" xfId="23019"/>
    <cellStyle name="40% - Accent5 2 4 3 3 3" xfId="10706"/>
    <cellStyle name="40% - Accent5 2 4 3 3 4" xfId="20436"/>
    <cellStyle name="40% - Accent5 2 4 3 4" xfId="10707"/>
    <cellStyle name="40% - Accent5 2 4 3 4 2" xfId="10708"/>
    <cellStyle name="40% - Accent5 2 4 3 4 3" xfId="21729"/>
    <cellStyle name="40% - Accent5 2 4 3 5" xfId="10709"/>
    <cellStyle name="40% - Accent5 2 4 3 6" xfId="19139"/>
    <cellStyle name="40% - Accent5 2 4 4" xfId="10710"/>
    <cellStyle name="40% - Accent5 2 4 4 2" xfId="10711"/>
    <cellStyle name="40% - Accent5 2 4 4 2 2" xfId="10712"/>
    <cellStyle name="40% - Accent5 2 4 4 2 2 2" xfId="10713"/>
    <cellStyle name="40% - Accent5 2 4 4 2 2 3" xfId="23342"/>
    <cellStyle name="40% - Accent5 2 4 4 2 3" xfId="10714"/>
    <cellStyle name="40% - Accent5 2 4 4 2 4" xfId="20759"/>
    <cellStyle name="40% - Accent5 2 4 4 3" xfId="10715"/>
    <cellStyle name="40% - Accent5 2 4 4 3 2" xfId="10716"/>
    <cellStyle name="40% - Accent5 2 4 4 3 3" xfId="22052"/>
    <cellStyle name="40% - Accent5 2 4 4 4" xfId="10717"/>
    <cellStyle name="40% - Accent5 2 4 4 5" xfId="19465"/>
    <cellStyle name="40% - Accent5 2 4 5" xfId="10718"/>
    <cellStyle name="40% - Accent5 2 4 5 2" xfId="10719"/>
    <cellStyle name="40% - Accent5 2 4 5 2 2" xfId="10720"/>
    <cellStyle name="40% - Accent5 2 4 5 2 3" xfId="22697"/>
    <cellStyle name="40% - Accent5 2 4 5 3" xfId="10721"/>
    <cellStyle name="40% - Accent5 2 4 5 4" xfId="20114"/>
    <cellStyle name="40% - Accent5 2 4 6" xfId="10722"/>
    <cellStyle name="40% - Accent5 2 4 6 2" xfId="10723"/>
    <cellStyle name="40% - Accent5 2 4 6 3" xfId="21407"/>
    <cellStyle name="40% - Accent5 2 4 7" xfId="10724"/>
    <cellStyle name="40% - Accent5 2 4 8" xfId="18806"/>
    <cellStyle name="40% - Accent5 2 5" xfId="10725"/>
    <cellStyle name="40% - Accent5 2 5 2" xfId="10726"/>
    <cellStyle name="40% - Accent5 2 5 2 2" xfId="10727"/>
    <cellStyle name="40% - Accent5 2 5 2 2 2" xfId="10728"/>
    <cellStyle name="40% - Accent5 2 5 2 2 2 2" xfId="10729"/>
    <cellStyle name="40% - Accent5 2 5 2 2 2 2 2" xfId="10730"/>
    <cellStyle name="40% - Accent5 2 5 2 2 2 2 3" xfId="23745"/>
    <cellStyle name="40% - Accent5 2 5 2 2 2 3" xfId="10731"/>
    <cellStyle name="40% - Accent5 2 5 2 2 2 4" xfId="21162"/>
    <cellStyle name="40% - Accent5 2 5 2 2 3" xfId="10732"/>
    <cellStyle name="40% - Accent5 2 5 2 2 3 2" xfId="10733"/>
    <cellStyle name="40% - Accent5 2 5 2 2 3 3" xfId="22455"/>
    <cellStyle name="40% - Accent5 2 5 2 2 4" xfId="10734"/>
    <cellStyle name="40% - Accent5 2 5 2 2 5" xfId="19868"/>
    <cellStyle name="40% - Accent5 2 5 2 3" xfId="10735"/>
    <cellStyle name="40% - Accent5 2 5 2 3 2" xfId="10736"/>
    <cellStyle name="40% - Accent5 2 5 2 3 2 2" xfId="10737"/>
    <cellStyle name="40% - Accent5 2 5 2 3 2 3" xfId="23100"/>
    <cellStyle name="40% - Accent5 2 5 2 3 3" xfId="10738"/>
    <cellStyle name="40% - Accent5 2 5 2 3 4" xfId="20517"/>
    <cellStyle name="40% - Accent5 2 5 2 4" xfId="10739"/>
    <cellStyle name="40% - Accent5 2 5 2 4 2" xfId="10740"/>
    <cellStyle name="40% - Accent5 2 5 2 4 3" xfId="21810"/>
    <cellStyle name="40% - Accent5 2 5 2 5" xfId="10741"/>
    <cellStyle name="40% - Accent5 2 5 2 6" xfId="19220"/>
    <cellStyle name="40% - Accent5 2 5 3" xfId="10742"/>
    <cellStyle name="40% - Accent5 2 5 3 2" xfId="10743"/>
    <cellStyle name="40% - Accent5 2 5 3 2 2" xfId="10744"/>
    <cellStyle name="40% - Accent5 2 5 3 2 2 2" xfId="10745"/>
    <cellStyle name="40% - Accent5 2 5 3 2 2 3" xfId="23423"/>
    <cellStyle name="40% - Accent5 2 5 3 2 3" xfId="10746"/>
    <cellStyle name="40% - Accent5 2 5 3 2 4" xfId="20840"/>
    <cellStyle name="40% - Accent5 2 5 3 3" xfId="10747"/>
    <cellStyle name="40% - Accent5 2 5 3 3 2" xfId="10748"/>
    <cellStyle name="40% - Accent5 2 5 3 3 3" xfId="22133"/>
    <cellStyle name="40% - Accent5 2 5 3 4" xfId="10749"/>
    <cellStyle name="40% - Accent5 2 5 3 5" xfId="19546"/>
    <cellStyle name="40% - Accent5 2 5 4" xfId="10750"/>
    <cellStyle name="40% - Accent5 2 5 4 2" xfId="10751"/>
    <cellStyle name="40% - Accent5 2 5 4 2 2" xfId="10752"/>
    <cellStyle name="40% - Accent5 2 5 4 2 3" xfId="22778"/>
    <cellStyle name="40% - Accent5 2 5 4 3" xfId="10753"/>
    <cellStyle name="40% - Accent5 2 5 4 4" xfId="20195"/>
    <cellStyle name="40% - Accent5 2 5 5" xfId="10754"/>
    <cellStyle name="40% - Accent5 2 5 5 2" xfId="10755"/>
    <cellStyle name="40% - Accent5 2 5 5 3" xfId="21488"/>
    <cellStyle name="40% - Accent5 2 5 6" xfId="10756"/>
    <cellStyle name="40% - Accent5 2 5 7" xfId="18894"/>
    <cellStyle name="40% - Accent5 2 6" xfId="10757"/>
    <cellStyle name="40% - Accent5 2 6 2" xfId="10758"/>
    <cellStyle name="40% - Accent5 2 6 2 2" xfId="10759"/>
    <cellStyle name="40% - Accent5 2 6 2 2 2" xfId="10760"/>
    <cellStyle name="40% - Accent5 2 6 2 2 2 2" xfId="10761"/>
    <cellStyle name="40% - Accent5 2 6 2 2 2 3" xfId="23584"/>
    <cellStyle name="40% - Accent5 2 6 2 2 3" xfId="10762"/>
    <cellStyle name="40% - Accent5 2 6 2 2 4" xfId="21001"/>
    <cellStyle name="40% - Accent5 2 6 2 3" xfId="10763"/>
    <cellStyle name="40% - Accent5 2 6 2 3 2" xfId="10764"/>
    <cellStyle name="40% - Accent5 2 6 2 3 3" xfId="22294"/>
    <cellStyle name="40% - Accent5 2 6 2 4" xfId="10765"/>
    <cellStyle name="40% - Accent5 2 6 2 5" xfId="19707"/>
    <cellStyle name="40% - Accent5 2 6 3" xfId="10766"/>
    <cellStyle name="40% - Accent5 2 6 3 2" xfId="10767"/>
    <cellStyle name="40% - Accent5 2 6 3 2 2" xfId="10768"/>
    <cellStyle name="40% - Accent5 2 6 3 2 3" xfId="22939"/>
    <cellStyle name="40% - Accent5 2 6 3 3" xfId="10769"/>
    <cellStyle name="40% - Accent5 2 6 3 4" xfId="20356"/>
    <cellStyle name="40% - Accent5 2 6 4" xfId="10770"/>
    <cellStyle name="40% - Accent5 2 6 4 2" xfId="10771"/>
    <cellStyle name="40% - Accent5 2 6 4 3" xfId="21649"/>
    <cellStyle name="40% - Accent5 2 6 5" xfId="10772"/>
    <cellStyle name="40% - Accent5 2 6 6" xfId="19059"/>
    <cellStyle name="40% - Accent5 2 7" xfId="10773"/>
    <cellStyle name="40% - Accent5 2 7 2" xfId="10774"/>
    <cellStyle name="40% - Accent5 2 7 2 2" xfId="10775"/>
    <cellStyle name="40% - Accent5 2 7 2 2 2" xfId="10776"/>
    <cellStyle name="40% - Accent5 2 7 2 2 3" xfId="23261"/>
    <cellStyle name="40% - Accent5 2 7 2 3" xfId="10777"/>
    <cellStyle name="40% - Accent5 2 7 2 4" xfId="20678"/>
    <cellStyle name="40% - Accent5 2 7 3" xfId="10778"/>
    <cellStyle name="40% - Accent5 2 7 3 2" xfId="10779"/>
    <cellStyle name="40% - Accent5 2 7 3 3" xfId="21971"/>
    <cellStyle name="40% - Accent5 2 7 4" xfId="10780"/>
    <cellStyle name="40% - Accent5 2 7 5" xfId="19385"/>
    <cellStyle name="40% - Accent5 2 8" xfId="10781"/>
    <cellStyle name="40% - Accent5 2 8 2" xfId="10782"/>
    <cellStyle name="40% - Accent5 2 8 2 2" xfId="10783"/>
    <cellStyle name="40% - Accent5 2 8 2 3" xfId="22616"/>
    <cellStyle name="40% - Accent5 2 8 3" xfId="10784"/>
    <cellStyle name="40% - Accent5 2 8 4" xfId="20033"/>
    <cellStyle name="40% - Accent5 2 9" xfId="10785"/>
    <cellStyle name="40% - Accent5 2 9 2" xfId="10786"/>
    <cellStyle name="40% - Accent5 2 9 3" xfId="21326"/>
    <cellStyle name="40% - Accent5 3" xfId="10787"/>
    <cellStyle name="40% - Accent5 3 10" xfId="18714"/>
    <cellStyle name="40% - Accent5 3 2" xfId="10788"/>
    <cellStyle name="40% - Accent5 3 2 2" xfId="10789"/>
    <cellStyle name="40% - Accent5 3 2 2 2" xfId="10790"/>
    <cellStyle name="40% - Accent5 3 2 2 2 2" xfId="10791"/>
    <cellStyle name="40% - Accent5 3 2 2 2 2 2" xfId="10792"/>
    <cellStyle name="40% - Accent5 3 2 2 2 2 2 2" xfId="10793"/>
    <cellStyle name="40% - Accent5 3 2 2 2 2 2 2 2" xfId="10794"/>
    <cellStyle name="40% - Accent5 3 2 2 2 2 2 2 2 2" xfId="10795"/>
    <cellStyle name="40% - Accent5 3 2 2 2 2 2 2 2 3" xfId="23875"/>
    <cellStyle name="40% - Accent5 3 2 2 2 2 2 2 3" xfId="10796"/>
    <cellStyle name="40% - Accent5 3 2 2 2 2 2 2 4" xfId="21292"/>
    <cellStyle name="40% - Accent5 3 2 2 2 2 2 3" xfId="10797"/>
    <cellStyle name="40% - Accent5 3 2 2 2 2 2 3 2" xfId="10798"/>
    <cellStyle name="40% - Accent5 3 2 2 2 2 2 3 3" xfId="22585"/>
    <cellStyle name="40% - Accent5 3 2 2 2 2 2 4" xfId="10799"/>
    <cellStyle name="40% - Accent5 3 2 2 2 2 2 5" xfId="19998"/>
    <cellStyle name="40% - Accent5 3 2 2 2 2 3" xfId="10800"/>
    <cellStyle name="40% - Accent5 3 2 2 2 2 3 2" xfId="10801"/>
    <cellStyle name="40% - Accent5 3 2 2 2 2 3 2 2" xfId="10802"/>
    <cellStyle name="40% - Accent5 3 2 2 2 2 3 2 3" xfId="23230"/>
    <cellStyle name="40% - Accent5 3 2 2 2 2 3 3" xfId="10803"/>
    <cellStyle name="40% - Accent5 3 2 2 2 2 3 4" xfId="20647"/>
    <cellStyle name="40% - Accent5 3 2 2 2 2 4" xfId="10804"/>
    <cellStyle name="40% - Accent5 3 2 2 2 2 4 2" xfId="10805"/>
    <cellStyle name="40% - Accent5 3 2 2 2 2 4 3" xfId="21940"/>
    <cellStyle name="40% - Accent5 3 2 2 2 2 5" xfId="10806"/>
    <cellStyle name="40% - Accent5 3 2 2 2 2 6" xfId="19350"/>
    <cellStyle name="40% - Accent5 3 2 2 2 3" xfId="10807"/>
    <cellStyle name="40% - Accent5 3 2 2 2 3 2" xfId="10808"/>
    <cellStyle name="40% - Accent5 3 2 2 2 3 2 2" xfId="10809"/>
    <cellStyle name="40% - Accent5 3 2 2 2 3 2 2 2" xfId="10810"/>
    <cellStyle name="40% - Accent5 3 2 2 2 3 2 2 3" xfId="23553"/>
    <cellStyle name="40% - Accent5 3 2 2 2 3 2 3" xfId="10811"/>
    <cellStyle name="40% - Accent5 3 2 2 2 3 2 4" xfId="20970"/>
    <cellStyle name="40% - Accent5 3 2 2 2 3 3" xfId="10812"/>
    <cellStyle name="40% - Accent5 3 2 2 2 3 3 2" xfId="10813"/>
    <cellStyle name="40% - Accent5 3 2 2 2 3 3 3" xfId="22263"/>
    <cellStyle name="40% - Accent5 3 2 2 2 3 4" xfId="10814"/>
    <cellStyle name="40% - Accent5 3 2 2 2 3 5" xfId="19676"/>
    <cellStyle name="40% - Accent5 3 2 2 2 4" xfId="10815"/>
    <cellStyle name="40% - Accent5 3 2 2 2 4 2" xfId="10816"/>
    <cellStyle name="40% - Accent5 3 2 2 2 4 2 2" xfId="10817"/>
    <cellStyle name="40% - Accent5 3 2 2 2 4 2 3" xfId="22908"/>
    <cellStyle name="40% - Accent5 3 2 2 2 4 3" xfId="10818"/>
    <cellStyle name="40% - Accent5 3 2 2 2 4 4" xfId="20325"/>
    <cellStyle name="40% - Accent5 3 2 2 2 5" xfId="10819"/>
    <cellStyle name="40% - Accent5 3 2 2 2 5 2" xfId="10820"/>
    <cellStyle name="40% - Accent5 3 2 2 2 5 3" xfId="21618"/>
    <cellStyle name="40% - Accent5 3 2 2 2 6" xfId="10821"/>
    <cellStyle name="40% - Accent5 3 2 2 2 7" xfId="19024"/>
    <cellStyle name="40% - Accent5 3 2 2 3" xfId="10822"/>
    <cellStyle name="40% - Accent5 3 2 2 3 2" xfId="10823"/>
    <cellStyle name="40% - Accent5 3 2 2 3 2 2" xfId="10824"/>
    <cellStyle name="40% - Accent5 3 2 2 3 2 2 2" xfId="10825"/>
    <cellStyle name="40% - Accent5 3 2 2 3 2 2 2 2" xfId="10826"/>
    <cellStyle name="40% - Accent5 3 2 2 3 2 2 2 3" xfId="23714"/>
    <cellStyle name="40% - Accent5 3 2 2 3 2 2 3" xfId="10827"/>
    <cellStyle name="40% - Accent5 3 2 2 3 2 2 4" xfId="21131"/>
    <cellStyle name="40% - Accent5 3 2 2 3 2 3" xfId="10828"/>
    <cellStyle name="40% - Accent5 3 2 2 3 2 3 2" xfId="10829"/>
    <cellStyle name="40% - Accent5 3 2 2 3 2 3 3" xfId="22424"/>
    <cellStyle name="40% - Accent5 3 2 2 3 2 4" xfId="10830"/>
    <cellStyle name="40% - Accent5 3 2 2 3 2 5" xfId="19837"/>
    <cellStyle name="40% - Accent5 3 2 2 3 3" xfId="10831"/>
    <cellStyle name="40% - Accent5 3 2 2 3 3 2" xfId="10832"/>
    <cellStyle name="40% - Accent5 3 2 2 3 3 2 2" xfId="10833"/>
    <cellStyle name="40% - Accent5 3 2 2 3 3 2 3" xfId="23069"/>
    <cellStyle name="40% - Accent5 3 2 2 3 3 3" xfId="10834"/>
    <cellStyle name="40% - Accent5 3 2 2 3 3 4" xfId="20486"/>
    <cellStyle name="40% - Accent5 3 2 2 3 4" xfId="10835"/>
    <cellStyle name="40% - Accent5 3 2 2 3 4 2" xfId="10836"/>
    <cellStyle name="40% - Accent5 3 2 2 3 4 3" xfId="21779"/>
    <cellStyle name="40% - Accent5 3 2 2 3 5" xfId="10837"/>
    <cellStyle name="40% - Accent5 3 2 2 3 6" xfId="19189"/>
    <cellStyle name="40% - Accent5 3 2 2 4" xfId="10838"/>
    <cellStyle name="40% - Accent5 3 2 2 4 2" xfId="10839"/>
    <cellStyle name="40% - Accent5 3 2 2 4 2 2" xfId="10840"/>
    <cellStyle name="40% - Accent5 3 2 2 4 2 2 2" xfId="10841"/>
    <cellStyle name="40% - Accent5 3 2 2 4 2 2 3" xfId="23392"/>
    <cellStyle name="40% - Accent5 3 2 2 4 2 3" xfId="10842"/>
    <cellStyle name="40% - Accent5 3 2 2 4 2 4" xfId="20809"/>
    <cellStyle name="40% - Accent5 3 2 2 4 3" xfId="10843"/>
    <cellStyle name="40% - Accent5 3 2 2 4 3 2" xfId="10844"/>
    <cellStyle name="40% - Accent5 3 2 2 4 3 3" xfId="22102"/>
    <cellStyle name="40% - Accent5 3 2 2 4 4" xfId="10845"/>
    <cellStyle name="40% - Accent5 3 2 2 4 5" xfId="19515"/>
    <cellStyle name="40% - Accent5 3 2 2 5" xfId="10846"/>
    <cellStyle name="40% - Accent5 3 2 2 5 2" xfId="10847"/>
    <cellStyle name="40% - Accent5 3 2 2 5 2 2" xfId="10848"/>
    <cellStyle name="40% - Accent5 3 2 2 5 2 3" xfId="22747"/>
    <cellStyle name="40% - Accent5 3 2 2 5 3" xfId="10849"/>
    <cellStyle name="40% - Accent5 3 2 2 5 4" xfId="20164"/>
    <cellStyle name="40% - Accent5 3 2 2 6" xfId="10850"/>
    <cellStyle name="40% - Accent5 3 2 2 6 2" xfId="10851"/>
    <cellStyle name="40% - Accent5 3 2 2 6 3" xfId="21457"/>
    <cellStyle name="40% - Accent5 3 2 2 7" xfId="10852"/>
    <cellStyle name="40% - Accent5 3 2 2 8" xfId="18859"/>
    <cellStyle name="40% - Accent5 3 2 3" xfId="10853"/>
    <cellStyle name="40% - Accent5 3 2 3 2" xfId="10854"/>
    <cellStyle name="40% - Accent5 3 2 3 2 2" xfId="10855"/>
    <cellStyle name="40% - Accent5 3 2 3 2 2 2" xfId="10856"/>
    <cellStyle name="40% - Accent5 3 2 3 2 2 2 2" xfId="10857"/>
    <cellStyle name="40% - Accent5 3 2 3 2 2 2 2 2" xfId="10858"/>
    <cellStyle name="40% - Accent5 3 2 3 2 2 2 2 3" xfId="23795"/>
    <cellStyle name="40% - Accent5 3 2 3 2 2 2 3" xfId="10859"/>
    <cellStyle name="40% - Accent5 3 2 3 2 2 2 4" xfId="21212"/>
    <cellStyle name="40% - Accent5 3 2 3 2 2 3" xfId="10860"/>
    <cellStyle name="40% - Accent5 3 2 3 2 2 3 2" xfId="10861"/>
    <cellStyle name="40% - Accent5 3 2 3 2 2 3 3" xfId="22505"/>
    <cellStyle name="40% - Accent5 3 2 3 2 2 4" xfId="10862"/>
    <cellStyle name="40% - Accent5 3 2 3 2 2 5" xfId="19918"/>
    <cellStyle name="40% - Accent5 3 2 3 2 3" xfId="10863"/>
    <cellStyle name="40% - Accent5 3 2 3 2 3 2" xfId="10864"/>
    <cellStyle name="40% - Accent5 3 2 3 2 3 2 2" xfId="10865"/>
    <cellStyle name="40% - Accent5 3 2 3 2 3 2 3" xfId="23150"/>
    <cellStyle name="40% - Accent5 3 2 3 2 3 3" xfId="10866"/>
    <cellStyle name="40% - Accent5 3 2 3 2 3 4" xfId="20567"/>
    <cellStyle name="40% - Accent5 3 2 3 2 4" xfId="10867"/>
    <cellStyle name="40% - Accent5 3 2 3 2 4 2" xfId="10868"/>
    <cellStyle name="40% - Accent5 3 2 3 2 4 3" xfId="21860"/>
    <cellStyle name="40% - Accent5 3 2 3 2 5" xfId="10869"/>
    <cellStyle name="40% - Accent5 3 2 3 2 6" xfId="19270"/>
    <cellStyle name="40% - Accent5 3 2 3 3" xfId="10870"/>
    <cellStyle name="40% - Accent5 3 2 3 3 2" xfId="10871"/>
    <cellStyle name="40% - Accent5 3 2 3 3 2 2" xfId="10872"/>
    <cellStyle name="40% - Accent5 3 2 3 3 2 2 2" xfId="10873"/>
    <cellStyle name="40% - Accent5 3 2 3 3 2 2 3" xfId="23473"/>
    <cellStyle name="40% - Accent5 3 2 3 3 2 3" xfId="10874"/>
    <cellStyle name="40% - Accent5 3 2 3 3 2 4" xfId="20890"/>
    <cellStyle name="40% - Accent5 3 2 3 3 3" xfId="10875"/>
    <cellStyle name="40% - Accent5 3 2 3 3 3 2" xfId="10876"/>
    <cellStyle name="40% - Accent5 3 2 3 3 3 3" xfId="22183"/>
    <cellStyle name="40% - Accent5 3 2 3 3 4" xfId="10877"/>
    <cellStyle name="40% - Accent5 3 2 3 3 5" xfId="19596"/>
    <cellStyle name="40% - Accent5 3 2 3 4" xfId="10878"/>
    <cellStyle name="40% - Accent5 3 2 3 4 2" xfId="10879"/>
    <cellStyle name="40% - Accent5 3 2 3 4 2 2" xfId="10880"/>
    <cellStyle name="40% - Accent5 3 2 3 4 2 3" xfId="22828"/>
    <cellStyle name="40% - Accent5 3 2 3 4 3" xfId="10881"/>
    <cellStyle name="40% - Accent5 3 2 3 4 4" xfId="20245"/>
    <cellStyle name="40% - Accent5 3 2 3 5" xfId="10882"/>
    <cellStyle name="40% - Accent5 3 2 3 5 2" xfId="10883"/>
    <cellStyle name="40% - Accent5 3 2 3 5 3" xfId="21538"/>
    <cellStyle name="40% - Accent5 3 2 3 6" xfId="10884"/>
    <cellStyle name="40% - Accent5 3 2 3 7" xfId="18944"/>
    <cellStyle name="40% - Accent5 3 2 4" xfId="10885"/>
    <cellStyle name="40% - Accent5 3 2 4 2" xfId="10886"/>
    <cellStyle name="40% - Accent5 3 2 4 2 2" xfId="10887"/>
    <cellStyle name="40% - Accent5 3 2 4 2 2 2" xfId="10888"/>
    <cellStyle name="40% - Accent5 3 2 4 2 2 2 2" xfId="10889"/>
    <cellStyle name="40% - Accent5 3 2 4 2 2 2 3" xfId="23634"/>
    <cellStyle name="40% - Accent5 3 2 4 2 2 3" xfId="10890"/>
    <cellStyle name="40% - Accent5 3 2 4 2 2 4" xfId="21051"/>
    <cellStyle name="40% - Accent5 3 2 4 2 3" xfId="10891"/>
    <cellStyle name="40% - Accent5 3 2 4 2 3 2" xfId="10892"/>
    <cellStyle name="40% - Accent5 3 2 4 2 3 3" xfId="22344"/>
    <cellStyle name="40% - Accent5 3 2 4 2 4" xfId="10893"/>
    <cellStyle name="40% - Accent5 3 2 4 2 5" xfId="19757"/>
    <cellStyle name="40% - Accent5 3 2 4 3" xfId="10894"/>
    <cellStyle name="40% - Accent5 3 2 4 3 2" xfId="10895"/>
    <cellStyle name="40% - Accent5 3 2 4 3 2 2" xfId="10896"/>
    <cellStyle name="40% - Accent5 3 2 4 3 2 3" xfId="22989"/>
    <cellStyle name="40% - Accent5 3 2 4 3 3" xfId="10897"/>
    <cellStyle name="40% - Accent5 3 2 4 3 4" xfId="20406"/>
    <cellStyle name="40% - Accent5 3 2 4 4" xfId="10898"/>
    <cellStyle name="40% - Accent5 3 2 4 4 2" xfId="10899"/>
    <cellStyle name="40% - Accent5 3 2 4 4 3" xfId="21699"/>
    <cellStyle name="40% - Accent5 3 2 4 5" xfId="10900"/>
    <cellStyle name="40% - Accent5 3 2 4 6" xfId="19109"/>
    <cellStyle name="40% - Accent5 3 2 5" xfId="10901"/>
    <cellStyle name="40% - Accent5 3 2 5 2" xfId="10902"/>
    <cellStyle name="40% - Accent5 3 2 5 2 2" xfId="10903"/>
    <cellStyle name="40% - Accent5 3 2 5 2 2 2" xfId="10904"/>
    <cellStyle name="40% - Accent5 3 2 5 2 2 3" xfId="23311"/>
    <cellStyle name="40% - Accent5 3 2 5 2 3" xfId="10905"/>
    <cellStyle name="40% - Accent5 3 2 5 2 4" xfId="20728"/>
    <cellStyle name="40% - Accent5 3 2 5 3" xfId="10906"/>
    <cellStyle name="40% - Accent5 3 2 5 3 2" xfId="10907"/>
    <cellStyle name="40% - Accent5 3 2 5 3 3" xfId="22021"/>
    <cellStyle name="40% - Accent5 3 2 5 4" xfId="10908"/>
    <cellStyle name="40% - Accent5 3 2 5 5" xfId="19435"/>
    <cellStyle name="40% - Accent5 3 2 6" xfId="10909"/>
    <cellStyle name="40% - Accent5 3 2 6 2" xfId="10910"/>
    <cellStyle name="40% - Accent5 3 2 6 2 2" xfId="10911"/>
    <cellStyle name="40% - Accent5 3 2 6 2 3" xfId="22666"/>
    <cellStyle name="40% - Accent5 3 2 6 3" xfId="10912"/>
    <cellStyle name="40% - Accent5 3 2 6 4" xfId="20083"/>
    <cellStyle name="40% - Accent5 3 2 7" xfId="10913"/>
    <cellStyle name="40% - Accent5 3 2 7 2" xfId="10914"/>
    <cellStyle name="40% - Accent5 3 2 7 3" xfId="21376"/>
    <cellStyle name="40% - Accent5 3 2 8" xfId="10915"/>
    <cellStyle name="40% - Accent5 3 2 9" xfId="18762"/>
    <cellStyle name="40% - Accent5 3 3" xfId="10916"/>
    <cellStyle name="40% - Accent5 3 3 2" xfId="10917"/>
    <cellStyle name="40% - Accent5 3 3 2 2" xfId="10918"/>
    <cellStyle name="40% - Accent5 3 3 2 2 2" xfId="10919"/>
    <cellStyle name="40% - Accent5 3 3 2 2 2 2" xfId="10920"/>
    <cellStyle name="40% - Accent5 3 3 2 2 2 2 2" xfId="10921"/>
    <cellStyle name="40% - Accent5 3 3 2 2 2 2 2 2" xfId="10922"/>
    <cellStyle name="40% - Accent5 3 3 2 2 2 2 2 3" xfId="23835"/>
    <cellStyle name="40% - Accent5 3 3 2 2 2 2 3" xfId="10923"/>
    <cellStyle name="40% - Accent5 3 3 2 2 2 2 4" xfId="21252"/>
    <cellStyle name="40% - Accent5 3 3 2 2 2 3" xfId="10924"/>
    <cellStyle name="40% - Accent5 3 3 2 2 2 3 2" xfId="10925"/>
    <cellStyle name="40% - Accent5 3 3 2 2 2 3 3" xfId="22545"/>
    <cellStyle name="40% - Accent5 3 3 2 2 2 4" xfId="10926"/>
    <cellStyle name="40% - Accent5 3 3 2 2 2 5" xfId="19958"/>
    <cellStyle name="40% - Accent5 3 3 2 2 3" xfId="10927"/>
    <cellStyle name="40% - Accent5 3 3 2 2 3 2" xfId="10928"/>
    <cellStyle name="40% - Accent5 3 3 2 2 3 2 2" xfId="10929"/>
    <cellStyle name="40% - Accent5 3 3 2 2 3 2 3" xfId="23190"/>
    <cellStyle name="40% - Accent5 3 3 2 2 3 3" xfId="10930"/>
    <cellStyle name="40% - Accent5 3 3 2 2 3 4" xfId="20607"/>
    <cellStyle name="40% - Accent5 3 3 2 2 4" xfId="10931"/>
    <cellStyle name="40% - Accent5 3 3 2 2 4 2" xfId="10932"/>
    <cellStyle name="40% - Accent5 3 3 2 2 4 3" xfId="21900"/>
    <cellStyle name="40% - Accent5 3 3 2 2 5" xfId="10933"/>
    <cellStyle name="40% - Accent5 3 3 2 2 6" xfId="19310"/>
    <cellStyle name="40% - Accent5 3 3 2 3" xfId="10934"/>
    <cellStyle name="40% - Accent5 3 3 2 3 2" xfId="10935"/>
    <cellStyle name="40% - Accent5 3 3 2 3 2 2" xfId="10936"/>
    <cellStyle name="40% - Accent5 3 3 2 3 2 2 2" xfId="10937"/>
    <cellStyle name="40% - Accent5 3 3 2 3 2 2 3" xfId="23513"/>
    <cellStyle name="40% - Accent5 3 3 2 3 2 3" xfId="10938"/>
    <cellStyle name="40% - Accent5 3 3 2 3 2 4" xfId="20930"/>
    <cellStyle name="40% - Accent5 3 3 2 3 3" xfId="10939"/>
    <cellStyle name="40% - Accent5 3 3 2 3 3 2" xfId="10940"/>
    <cellStyle name="40% - Accent5 3 3 2 3 3 3" xfId="22223"/>
    <cellStyle name="40% - Accent5 3 3 2 3 4" xfId="10941"/>
    <cellStyle name="40% - Accent5 3 3 2 3 5" xfId="19636"/>
    <cellStyle name="40% - Accent5 3 3 2 4" xfId="10942"/>
    <cellStyle name="40% - Accent5 3 3 2 4 2" xfId="10943"/>
    <cellStyle name="40% - Accent5 3 3 2 4 2 2" xfId="10944"/>
    <cellStyle name="40% - Accent5 3 3 2 4 2 3" xfId="22868"/>
    <cellStyle name="40% - Accent5 3 3 2 4 3" xfId="10945"/>
    <cellStyle name="40% - Accent5 3 3 2 4 4" xfId="20285"/>
    <cellStyle name="40% - Accent5 3 3 2 5" xfId="10946"/>
    <cellStyle name="40% - Accent5 3 3 2 5 2" xfId="10947"/>
    <cellStyle name="40% - Accent5 3 3 2 5 3" xfId="21578"/>
    <cellStyle name="40% - Accent5 3 3 2 6" xfId="10948"/>
    <cellStyle name="40% - Accent5 3 3 2 7" xfId="18984"/>
    <cellStyle name="40% - Accent5 3 3 3" xfId="10949"/>
    <cellStyle name="40% - Accent5 3 3 3 2" xfId="10950"/>
    <cellStyle name="40% - Accent5 3 3 3 2 2" xfId="10951"/>
    <cellStyle name="40% - Accent5 3 3 3 2 2 2" xfId="10952"/>
    <cellStyle name="40% - Accent5 3 3 3 2 2 2 2" xfId="10953"/>
    <cellStyle name="40% - Accent5 3 3 3 2 2 2 3" xfId="23674"/>
    <cellStyle name="40% - Accent5 3 3 3 2 2 3" xfId="10954"/>
    <cellStyle name="40% - Accent5 3 3 3 2 2 4" xfId="21091"/>
    <cellStyle name="40% - Accent5 3 3 3 2 3" xfId="10955"/>
    <cellStyle name="40% - Accent5 3 3 3 2 3 2" xfId="10956"/>
    <cellStyle name="40% - Accent5 3 3 3 2 3 3" xfId="22384"/>
    <cellStyle name="40% - Accent5 3 3 3 2 4" xfId="10957"/>
    <cellStyle name="40% - Accent5 3 3 3 2 5" xfId="19797"/>
    <cellStyle name="40% - Accent5 3 3 3 3" xfId="10958"/>
    <cellStyle name="40% - Accent5 3 3 3 3 2" xfId="10959"/>
    <cellStyle name="40% - Accent5 3 3 3 3 2 2" xfId="10960"/>
    <cellStyle name="40% - Accent5 3 3 3 3 2 3" xfId="23029"/>
    <cellStyle name="40% - Accent5 3 3 3 3 3" xfId="10961"/>
    <cellStyle name="40% - Accent5 3 3 3 3 4" xfId="20446"/>
    <cellStyle name="40% - Accent5 3 3 3 4" xfId="10962"/>
    <cellStyle name="40% - Accent5 3 3 3 4 2" xfId="10963"/>
    <cellStyle name="40% - Accent5 3 3 3 4 3" xfId="21739"/>
    <cellStyle name="40% - Accent5 3 3 3 5" xfId="10964"/>
    <cellStyle name="40% - Accent5 3 3 3 6" xfId="19149"/>
    <cellStyle name="40% - Accent5 3 3 4" xfId="10965"/>
    <cellStyle name="40% - Accent5 3 3 4 2" xfId="10966"/>
    <cellStyle name="40% - Accent5 3 3 4 2 2" xfId="10967"/>
    <cellStyle name="40% - Accent5 3 3 4 2 2 2" xfId="10968"/>
    <cellStyle name="40% - Accent5 3 3 4 2 2 3" xfId="23352"/>
    <cellStyle name="40% - Accent5 3 3 4 2 3" xfId="10969"/>
    <cellStyle name="40% - Accent5 3 3 4 2 4" xfId="20769"/>
    <cellStyle name="40% - Accent5 3 3 4 3" xfId="10970"/>
    <cellStyle name="40% - Accent5 3 3 4 3 2" xfId="10971"/>
    <cellStyle name="40% - Accent5 3 3 4 3 3" xfId="22062"/>
    <cellStyle name="40% - Accent5 3 3 4 4" xfId="10972"/>
    <cellStyle name="40% - Accent5 3 3 4 5" xfId="19475"/>
    <cellStyle name="40% - Accent5 3 3 5" xfId="10973"/>
    <cellStyle name="40% - Accent5 3 3 5 2" xfId="10974"/>
    <cellStyle name="40% - Accent5 3 3 5 2 2" xfId="10975"/>
    <cellStyle name="40% - Accent5 3 3 5 2 3" xfId="22707"/>
    <cellStyle name="40% - Accent5 3 3 5 3" xfId="10976"/>
    <cellStyle name="40% - Accent5 3 3 5 4" xfId="20124"/>
    <cellStyle name="40% - Accent5 3 3 6" xfId="10977"/>
    <cellStyle name="40% - Accent5 3 3 6 2" xfId="10978"/>
    <cellStyle name="40% - Accent5 3 3 6 3" xfId="21417"/>
    <cellStyle name="40% - Accent5 3 3 7" xfId="10979"/>
    <cellStyle name="40% - Accent5 3 3 8" xfId="18817"/>
    <cellStyle name="40% - Accent5 3 4" xfId="10980"/>
    <cellStyle name="40% - Accent5 3 4 2" xfId="10981"/>
    <cellStyle name="40% - Accent5 3 4 2 2" xfId="10982"/>
    <cellStyle name="40% - Accent5 3 4 2 2 2" xfId="10983"/>
    <cellStyle name="40% - Accent5 3 4 2 2 2 2" xfId="10984"/>
    <cellStyle name="40% - Accent5 3 4 2 2 2 2 2" xfId="10985"/>
    <cellStyle name="40% - Accent5 3 4 2 2 2 2 3" xfId="23755"/>
    <cellStyle name="40% - Accent5 3 4 2 2 2 3" xfId="10986"/>
    <cellStyle name="40% - Accent5 3 4 2 2 2 4" xfId="21172"/>
    <cellStyle name="40% - Accent5 3 4 2 2 3" xfId="10987"/>
    <cellStyle name="40% - Accent5 3 4 2 2 3 2" xfId="10988"/>
    <cellStyle name="40% - Accent5 3 4 2 2 3 3" xfId="22465"/>
    <cellStyle name="40% - Accent5 3 4 2 2 4" xfId="10989"/>
    <cellStyle name="40% - Accent5 3 4 2 2 5" xfId="19878"/>
    <cellStyle name="40% - Accent5 3 4 2 3" xfId="10990"/>
    <cellStyle name="40% - Accent5 3 4 2 3 2" xfId="10991"/>
    <cellStyle name="40% - Accent5 3 4 2 3 2 2" xfId="10992"/>
    <cellStyle name="40% - Accent5 3 4 2 3 2 3" xfId="23110"/>
    <cellStyle name="40% - Accent5 3 4 2 3 3" xfId="10993"/>
    <cellStyle name="40% - Accent5 3 4 2 3 4" xfId="20527"/>
    <cellStyle name="40% - Accent5 3 4 2 4" xfId="10994"/>
    <cellStyle name="40% - Accent5 3 4 2 4 2" xfId="10995"/>
    <cellStyle name="40% - Accent5 3 4 2 4 3" xfId="21820"/>
    <cellStyle name="40% - Accent5 3 4 2 5" xfId="10996"/>
    <cellStyle name="40% - Accent5 3 4 2 6" xfId="19230"/>
    <cellStyle name="40% - Accent5 3 4 3" xfId="10997"/>
    <cellStyle name="40% - Accent5 3 4 3 2" xfId="10998"/>
    <cellStyle name="40% - Accent5 3 4 3 2 2" xfId="10999"/>
    <cellStyle name="40% - Accent5 3 4 3 2 2 2" xfId="11000"/>
    <cellStyle name="40% - Accent5 3 4 3 2 2 3" xfId="23433"/>
    <cellStyle name="40% - Accent5 3 4 3 2 3" xfId="11001"/>
    <cellStyle name="40% - Accent5 3 4 3 2 4" xfId="20850"/>
    <cellStyle name="40% - Accent5 3 4 3 3" xfId="11002"/>
    <cellStyle name="40% - Accent5 3 4 3 3 2" xfId="11003"/>
    <cellStyle name="40% - Accent5 3 4 3 3 3" xfId="22143"/>
    <cellStyle name="40% - Accent5 3 4 3 4" xfId="11004"/>
    <cellStyle name="40% - Accent5 3 4 3 5" xfId="19556"/>
    <cellStyle name="40% - Accent5 3 4 4" xfId="11005"/>
    <cellStyle name="40% - Accent5 3 4 4 2" xfId="11006"/>
    <cellStyle name="40% - Accent5 3 4 4 2 2" xfId="11007"/>
    <cellStyle name="40% - Accent5 3 4 4 2 3" xfId="22788"/>
    <cellStyle name="40% - Accent5 3 4 4 3" xfId="11008"/>
    <cellStyle name="40% - Accent5 3 4 4 4" xfId="20205"/>
    <cellStyle name="40% - Accent5 3 4 5" xfId="11009"/>
    <cellStyle name="40% - Accent5 3 4 5 2" xfId="11010"/>
    <cellStyle name="40% - Accent5 3 4 5 3" xfId="21498"/>
    <cellStyle name="40% - Accent5 3 4 6" xfId="11011"/>
    <cellStyle name="40% - Accent5 3 4 7" xfId="18904"/>
    <cellStyle name="40% - Accent5 3 5" xfId="11012"/>
    <cellStyle name="40% - Accent5 3 5 2" xfId="11013"/>
    <cellStyle name="40% - Accent5 3 5 2 2" xfId="11014"/>
    <cellStyle name="40% - Accent5 3 5 2 2 2" xfId="11015"/>
    <cellStyle name="40% - Accent5 3 5 2 2 2 2" xfId="11016"/>
    <cellStyle name="40% - Accent5 3 5 2 2 2 3" xfId="23594"/>
    <cellStyle name="40% - Accent5 3 5 2 2 3" xfId="11017"/>
    <cellStyle name="40% - Accent5 3 5 2 2 4" xfId="21011"/>
    <cellStyle name="40% - Accent5 3 5 2 3" xfId="11018"/>
    <cellStyle name="40% - Accent5 3 5 2 3 2" xfId="11019"/>
    <cellStyle name="40% - Accent5 3 5 2 3 3" xfId="22304"/>
    <cellStyle name="40% - Accent5 3 5 2 4" xfId="11020"/>
    <cellStyle name="40% - Accent5 3 5 2 5" xfId="19717"/>
    <cellStyle name="40% - Accent5 3 5 3" xfId="11021"/>
    <cellStyle name="40% - Accent5 3 5 3 2" xfId="11022"/>
    <cellStyle name="40% - Accent5 3 5 3 2 2" xfId="11023"/>
    <cellStyle name="40% - Accent5 3 5 3 2 3" xfId="22949"/>
    <cellStyle name="40% - Accent5 3 5 3 3" xfId="11024"/>
    <cellStyle name="40% - Accent5 3 5 3 4" xfId="20366"/>
    <cellStyle name="40% - Accent5 3 5 4" xfId="11025"/>
    <cellStyle name="40% - Accent5 3 5 4 2" xfId="11026"/>
    <cellStyle name="40% - Accent5 3 5 4 3" xfId="21659"/>
    <cellStyle name="40% - Accent5 3 5 5" xfId="11027"/>
    <cellStyle name="40% - Accent5 3 5 6" xfId="19069"/>
    <cellStyle name="40% - Accent5 3 6" xfId="11028"/>
    <cellStyle name="40% - Accent5 3 6 2" xfId="11029"/>
    <cellStyle name="40% - Accent5 3 6 2 2" xfId="11030"/>
    <cellStyle name="40% - Accent5 3 6 2 2 2" xfId="11031"/>
    <cellStyle name="40% - Accent5 3 6 2 2 3" xfId="23271"/>
    <cellStyle name="40% - Accent5 3 6 2 3" xfId="11032"/>
    <cellStyle name="40% - Accent5 3 6 2 4" xfId="20688"/>
    <cellStyle name="40% - Accent5 3 6 3" xfId="11033"/>
    <cellStyle name="40% - Accent5 3 6 3 2" xfId="11034"/>
    <cellStyle name="40% - Accent5 3 6 3 3" xfId="21981"/>
    <cellStyle name="40% - Accent5 3 6 4" xfId="11035"/>
    <cellStyle name="40% - Accent5 3 6 5" xfId="19395"/>
    <cellStyle name="40% - Accent5 3 7" xfId="11036"/>
    <cellStyle name="40% - Accent5 3 7 2" xfId="11037"/>
    <cellStyle name="40% - Accent5 3 7 2 2" xfId="11038"/>
    <cellStyle name="40% - Accent5 3 7 2 3" xfId="22626"/>
    <cellStyle name="40% - Accent5 3 7 3" xfId="11039"/>
    <cellStyle name="40% - Accent5 3 7 4" xfId="20043"/>
    <cellStyle name="40% - Accent5 3 8" xfId="11040"/>
    <cellStyle name="40% - Accent5 3 8 2" xfId="11041"/>
    <cellStyle name="40% - Accent5 3 8 3" xfId="21336"/>
    <cellStyle name="40% - Accent5 3 9" xfId="11042"/>
    <cellStyle name="40% - Accent5 4" xfId="11043"/>
    <cellStyle name="40% - Accent5 4 2" xfId="11044"/>
    <cellStyle name="40% - Accent5 4 2 2" xfId="11045"/>
    <cellStyle name="40% - Accent5 4 2 2 2" xfId="11046"/>
    <cellStyle name="40% - Accent5 4 2 2 2 2" xfId="11047"/>
    <cellStyle name="40% - Accent5 4 2 2 2 2 2" xfId="11048"/>
    <cellStyle name="40% - Accent5 4 2 2 2 2 2 2" xfId="11049"/>
    <cellStyle name="40% - Accent5 4 2 2 2 2 2 2 2" xfId="11050"/>
    <cellStyle name="40% - Accent5 4 2 2 2 2 2 2 3" xfId="23855"/>
    <cellStyle name="40% - Accent5 4 2 2 2 2 2 3" xfId="11051"/>
    <cellStyle name="40% - Accent5 4 2 2 2 2 2 4" xfId="21272"/>
    <cellStyle name="40% - Accent5 4 2 2 2 2 3" xfId="11052"/>
    <cellStyle name="40% - Accent5 4 2 2 2 2 3 2" xfId="11053"/>
    <cellStyle name="40% - Accent5 4 2 2 2 2 3 3" xfId="22565"/>
    <cellStyle name="40% - Accent5 4 2 2 2 2 4" xfId="11054"/>
    <cellStyle name="40% - Accent5 4 2 2 2 2 5" xfId="19978"/>
    <cellStyle name="40% - Accent5 4 2 2 2 3" xfId="11055"/>
    <cellStyle name="40% - Accent5 4 2 2 2 3 2" xfId="11056"/>
    <cellStyle name="40% - Accent5 4 2 2 2 3 2 2" xfId="11057"/>
    <cellStyle name="40% - Accent5 4 2 2 2 3 2 3" xfId="23210"/>
    <cellStyle name="40% - Accent5 4 2 2 2 3 3" xfId="11058"/>
    <cellStyle name="40% - Accent5 4 2 2 2 3 4" xfId="20627"/>
    <cellStyle name="40% - Accent5 4 2 2 2 4" xfId="11059"/>
    <cellStyle name="40% - Accent5 4 2 2 2 4 2" xfId="11060"/>
    <cellStyle name="40% - Accent5 4 2 2 2 4 3" xfId="21920"/>
    <cellStyle name="40% - Accent5 4 2 2 2 5" xfId="11061"/>
    <cellStyle name="40% - Accent5 4 2 2 2 6" xfId="19330"/>
    <cellStyle name="40% - Accent5 4 2 2 3" xfId="11062"/>
    <cellStyle name="40% - Accent5 4 2 2 3 2" xfId="11063"/>
    <cellStyle name="40% - Accent5 4 2 2 3 2 2" xfId="11064"/>
    <cellStyle name="40% - Accent5 4 2 2 3 2 2 2" xfId="11065"/>
    <cellStyle name="40% - Accent5 4 2 2 3 2 2 3" xfId="23533"/>
    <cellStyle name="40% - Accent5 4 2 2 3 2 3" xfId="11066"/>
    <cellStyle name="40% - Accent5 4 2 2 3 2 4" xfId="20950"/>
    <cellStyle name="40% - Accent5 4 2 2 3 3" xfId="11067"/>
    <cellStyle name="40% - Accent5 4 2 2 3 3 2" xfId="11068"/>
    <cellStyle name="40% - Accent5 4 2 2 3 3 3" xfId="22243"/>
    <cellStyle name="40% - Accent5 4 2 2 3 4" xfId="11069"/>
    <cellStyle name="40% - Accent5 4 2 2 3 5" xfId="19656"/>
    <cellStyle name="40% - Accent5 4 2 2 4" xfId="11070"/>
    <cellStyle name="40% - Accent5 4 2 2 4 2" xfId="11071"/>
    <cellStyle name="40% - Accent5 4 2 2 4 2 2" xfId="11072"/>
    <cellStyle name="40% - Accent5 4 2 2 4 2 3" xfId="22888"/>
    <cellStyle name="40% - Accent5 4 2 2 4 3" xfId="11073"/>
    <cellStyle name="40% - Accent5 4 2 2 4 4" xfId="20305"/>
    <cellStyle name="40% - Accent5 4 2 2 5" xfId="11074"/>
    <cellStyle name="40% - Accent5 4 2 2 5 2" xfId="11075"/>
    <cellStyle name="40% - Accent5 4 2 2 5 3" xfId="21598"/>
    <cellStyle name="40% - Accent5 4 2 2 6" xfId="11076"/>
    <cellStyle name="40% - Accent5 4 2 2 7" xfId="19004"/>
    <cellStyle name="40% - Accent5 4 2 3" xfId="11077"/>
    <cellStyle name="40% - Accent5 4 2 3 2" xfId="11078"/>
    <cellStyle name="40% - Accent5 4 2 3 2 2" xfId="11079"/>
    <cellStyle name="40% - Accent5 4 2 3 2 2 2" xfId="11080"/>
    <cellStyle name="40% - Accent5 4 2 3 2 2 2 2" xfId="11081"/>
    <cellStyle name="40% - Accent5 4 2 3 2 2 2 3" xfId="23694"/>
    <cellStyle name="40% - Accent5 4 2 3 2 2 3" xfId="11082"/>
    <cellStyle name="40% - Accent5 4 2 3 2 2 4" xfId="21111"/>
    <cellStyle name="40% - Accent5 4 2 3 2 3" xfId="11083"/>
    <cellStyle name="40% - Accent5 4 2 3 2 3 2" xfId="11084"/>
    <cellStyle name="40% - Accent5 4 2 3 2 3 3" xfId="22404"/>
    <cellStyle name="40% - Accent5 4 2 3 2 4" xfId="11085"/>
    <cellStyle name="40% - Accent5 4 2 3 2 5" xfId="19817"/>
    <cellStyle name="40% - Accent5 4 2 3 3" xfId="11086"/>
    <cellStyle name="40% - Accent5 4 2 3 3 2" xfId="11087"/>
    <cellStyle name="40% - Accent5 4 2 3 3 2 2" xfId="11088"/>
    <cellStyle name="40% - Accent5 4 2 3 3 2 3" xfId="23049"/>
    <cellStyle name="40% - Accent5 4 2 3 3 3" xfId="11089"/>
    <cellStyle name="40% - Accent5 4 2 3 3 4" xfId="20466"/>
    <cellStyle name="40% - Accent5 4 2 3 4" xfId="11090"/>
    <cellStyle name="40% - Accent5 4 2 3 4 2" xfId="11091"/>
    <cellStyle name="40% - Accent5 4 2 3 4 3" xfId="21759"/>
    <cellStyle name="40% - Accent5 4 2 3 5" xfId="11092"/>
    <cellStyle name="40% - Accent5 4 2 3 6" xfId="19169"/>
    <cellStyle name="40% - Accent5 4 2 4" xfId="11093"/>
    <cellStyle name="40% - Accent5 4 2 4 2" xfId="11094"/>
    <cellStyle name="40% - Accent5 4 2 4 2 2" xfId="11095"/>
    <cellStyle name="40% - Accent5 4 2 4 2 2 2" xfId="11096"/>
    <cellStyle name="40% - Accent5 4 2 4 2 2 3" xfId="23372"/>
    <cellStyle name="40% - Accent5 4 2 4 2 3" xfId="11097"/>
    <cellStyle name="40% - Accent5 4 2 4 2 4" xfId="20789"/>
    <cellStyle name="40% - Accent5 4 2 4 3" xfId="11098"/>
    <cellStyle name="40% - Accent5 4 2 4 3 2" xfId="11099"/>
    <cellStyle name="40% - Accent5 4 2 4 3 3" xfId="22082"/>
    <cellStyle name="40% - Accent5 4 2 4 4" xfId="11100"/>
    <cellStyle name="40% - Accent5 4 2 4 5" xfId="19495"/>
    <cellStyle name="40% - Accent5 4 2 5" xfId="11101"/>
    <cellStyle name="40% - Accent5 4 2 5 2" xfId="11102"/>
    <cellStyle name="40% - Accent5 4 2 5 2 2" xfId="11103"/>
    <cellStyle name="40% - Accent5 4 2 5 2 3" xfId="22727"/>
    <cellStyle name="40% - Accent5 4 2 5 3" xfId="11104"/>
    <cellStyle name="40% - Accent5 4 2 5 4" xfId="20144"/>
    <cellStyle name="40% - Accent5 4 2 6" xfId="11105"/>
    <cellStyle name="40% - Accent5 4 2 6 2" xfId="11106"/>
    <cellStyle name="40% - Accent5 4 2 6 3" xfId="21437"/>
    <cellStyle name="40% - Accent5 4 2 7" xfId="11107"/>
    <cellStyle name="40% - Accent5 4 2 8" xfId="18838"/>
    <cellStyle name="40% - Accent5 4 3" xfId="11108"/>
    <cellStyle name="40% - Accent5 4 3 2" xfId="11109"/>
    <cellStyle name="40% - Accent5 4 3 2 2" xfId="11110"/>
    <cellStyle name="40% - Accent5 4 3 2 2 2" xfId="11111"/>
    <cellStyle name="40% - Accent5 4 3 2 2 2 2" xfId="11112"/>
    <cellStyle name="40% - Accent5 4 3 2 2 2 2 2" xfId="11113"/>
    <cellStyle name="40% - Accent5 4 3 2 2 2 2 3" xfId="23775"/>
    <cellStyle name="40% - Accent5 4 3 2 2 2 3" xfId="11114"/>
    <cellStyle name="40% - Accent5 4 3 2 2 2 4" xfId="21192"/>
    <cellStyle name="40% - Accent5 4 3 2 2 3" xfId="11115"/>
    <cellStyle name="40% - Accent5 4 3 2 2 3 2" xfId="11116"/>
    <cellStyle name="40% - Accent5 4 3 2 2 3 3" xfId="22485"/>
    <cellStyle name="40% - Accent5 4 3 2 2 4" xfId="11117"/>
    <cellStyle name="40% - Accent5 4 3 2 2 5" xfId="19898"/>
    <cellStyle name="40% - Accent5 4 3 2 3" xfId="11118"/>
    <cellStyle name="40% - Accent5 4 3 2 3 2" xfId="11119"/>
    <cellStyle name="40% - Accent5 4 3 2 3 2 2" xfId="11120"/>
    <cellStyle name="40% - Accent5 4 3 2 3 2 3" xfId="23130"/>
    <cellStyle name="40% - Accent5 4 3 2 3 3" xfId="11121"/>
    <cellStyle name="40% - Accent5 4 3 2 3 4" xfId="20547"/>
    <cellStyle name="40% - Accent5 4 3 2 4" xfId="11122"/>
    <cellStyle name="40% - Accent5 4 3 2 4 2" xfId="11123"/>
    <cellStyle name="40% - Accent5 4 3 2 4 3" xfId="21840"/>
    <cellStyle name="40% - Accent5 4 3 2 5" xfId="11124"/>
    <cellStyle name="40% - Accent5 4 3 2 6" xfId="19250"/>
    <cellStyle name="40% - Accent5 4 3 3" xfId="11125"/>
    <cellStyle name="40% - Accent5 4 3 3 2" xfId="11126"/>
    <cellStyle name="40% - Accent5 4 3 3 2 2" xfId="11127"/>
    <cellStyle name="40% - Accent5 4 3 3 2 2 2" xfId="11128"/>
    <cellStyle name="40% - Accent5 4 3 3 2 2 3" xfId="23453"/>
    <cellStyle name="40% - Accent5 4 3 3 2 3" xfId="11129"/>
    <cellStyle name="40% - Accent5 4 3 3 2 4" xfId="20870"/>
    <cellStyle name="40% - Accent5 4 3 3 3" xfId="11130"/>
    <cellStyle name="40% - Accent5 4 3 3 3 2" xfId="11131"/>
    <cellStyle name="40% - Accent5 4 3 3 3 3" xfId="22163"/>
    <cellStyle name="40% - Accent5 4 3 3 4" xfId="11132"/>
    <cellStyle name="40% - Accent5 4 3 3 5" xfId="19576"/>
    <cellStyle name="40% - Accent5 4 3 4" xfId="11133"/>
    <cellStyle name="40% - Accent5 4 3 4 2" xfId="11134"/>
    <cellStyle name="40% - Accent5 4 3 4 2 2" xfId="11135"/>
    <cellStyle name="40% - Accent5 4 3 4 2 3" xfId="22808"/>
    <cellStyle name="40% - Accent5 4 3 4 3" xfId="11136"/>
    <cellStyle name="40% - Accent5 4 3 4 4" xfId="20225"/>
    <cellStyle name="40% - Accent5 4 3 5" xfId="11137"/>
    <cellStyle name="40% - Accent5 4 3 5 2" xfId="11138"/>
    <cellStyle name="40% - Accent5 4 3 5 3" xfId="21518"/>
    <cellStyle name="40% - Accent5 4 3 6" xfId="11139"/>
    <cellStyle name="40% - Accent5 4 3 7" xfId="18924"/>
    <cellStyle name="40% - Accent5 4 4" xfId="11140"/>
    <cellStyle name="40% - Accent5 4 4 2" xfId="11141"/>
    <cellStyle name="40% - Accent5 4 4 2 2" xfId="11142"/>
    <cellStyle name="40% - Accent5 4 4 2 2 2" xfId="11143"/>
    <cellStyle name="40% - Accent5 4 4 2 2 2 2" xfId="11144"/>
    <cellStyle name="40% - Accent5 4 4 2 2 2 3" xfId="23614"/>
    <cellStyle name="40% - Accent5 4 4 2 2 3" xfId="11145"/>
    <cellStyle name="40% - Accent5 4 4 2 2 4" xfId="21031"/>
    <cellStyle name="40% - Accent5 4 4 2 3" xfId="11146"/>
    <cellStyle name="40% - Accent5 4 4 2 3 2" xfId="11147"/>
    <cellStyle name="40% - Accent5 4 4 2 3 3" xfId="22324"/>
    <cellStyle name="40% - Accent5 4 4 2 4" xfId="11148"/>
    <cellStyle name="40% - Accent5 4 4 2 5" xfId="19737"/>
    <cellStyle name="40% - Accent5 4 4 3" xfId="11149"/>
    <cellStyle name="40% - Accent5 4 4 3 2" xfId="11150"/>
    <cellStyle name="40% - Accent5 4 4 3 2 2" xfId="11151"/>
    <cellStyle name="40% - Accent5 4 4 3 2 3" xfId="22969"/>
    <cellStyle name="40% - Accent5 4 4 3 3" xfId="11152"/>
    <cellStyle name="40% - Accent5 4 4 3 4" xfId="20386"/>
    <cellStyle name="40% - Accent5 4 4 4" xfId="11153"/>
    <cellStyle name="40% - Accent5 4 4 4 2" xfId="11154"/>
    <cellStyle name="40% - Accent5 4 4 4 3" xfId="21679"/>
    <cellStyle name="40% - Accent5 4 4 5" xfId="11155"/>
    <cellStyle name="40% - Accent5 4 4 6" xfId="19089"/>
    <cellStyle name="40% - Accent5 4 5" xfId="11156"/>
    <cellStyle name="40% - Accent5 4 5 2" xfId="11157"/>
    <cellStyle name="40% - Accent5 4 5 2 2" xfId="11158"/>
    <cellStyle name="40% - Accent5 4 5 2 2 2" xfId="11159"/>
    <cellStyle name="40% - Accent5 4 5 2 2 3" xfId="23291"/>
    <cellStyle name="40% - Accent5 4 5 2 3" xfId="11160"/>
    <cellStyle name="40% - Accent5 4 5 2 4" xfId="20708"/>
    <cellStyle name="40% - Accent5 4 5 3" xfId="11161"/>
    <cellStyle name="40% - Accent5 4 5 3 2" xfId="11162"/>
    <cellStyle name="40% - Accent5 4 5 3 3" xfId="22001"/>
    <cellStyle name="40% - Accent5 4 5 4" xfId="11163"/>
    <cellStyle name="40% - Accent5 4 5 5" xfId="19415"/>
    <cellStyle name="40% - Accent5 4 6" xfId="11164"/>
    <cellStyle name="40% - Accent5 4 6 2" xfId="11165"/>
    <cellStyle name="40% - Accent5 4 6 2 2" xfId="11166"/>
    <cellStyle name="40% - Accent5 4 6 2 3" xfId="22646"/>
    <cellStyle name="40% - Accent5 4 6 3" xfId="11167"/>
    <cellStyle name="40% - Accent5 4 6 4" xfId="20063"/>
    <cellStyle name="40% - Accent5 4 7" xfId="11168"/>
    <cellStyle name="40% - Accent5 4 7 2" xfId="11169"/>
    <cellStyle name="40% - Accent5 4 7 3" xfId="21356"/>
    <cellStyle name="40% - Accent5 4 8" xfId="11170"/>
    <cellStyle name="40% - Accent5 4 9" xfId="18738"/>
    <cellStyle name="40% - Accent5 5" xfId="11171"/>
    <cellStyle name="40% - Accent5 5 2" xfId="11172"/>
    <cellStyle name="40% - Accent5 5 2 2" xfId="11173"/>
    <cellStyle name="40% - Accent5 5 2 2 2" xfId="11174"/>
    <cellStyle name="40% - Accent5 5 2 2 2 2" xfId="11175"/>
    <cellStyle name="40% - Accent5 5 2 2 2 2 2" xfId="11176"/>
    <cellStyle name="40% - Accent5 5 2 2 2 2 2 2" xfId="11177"/>
    <cellStyle name="40% - Accent5 5 2 2 2 2 2 3" xfId="23815"/>
    <cellStyle name="40% - Accent5 5 2 2 2 2 3" xfId="11178"/>
    <cellStyle name="40% - Accent5 5 2 2 2 2 4" xfId="21232"/>
    <cellStyle name="40% - Accent5 5 2 2 2 3" xfId="11179"/>
    <cellStyle name="40% - Accent5 5 2 2 2 3 2" xfId="11180"/>
    <cellStyle name="40% - Accent5 5 2 2 2 3 3" xfId="22525"/>
    <cellStyle name="40% - Accent5 5 2 2 2 4" xfId="11181"/>
    <cellStyle name="40% - Accent5 5 2 2 2 5" xfId="19938"/>
    <cellStyle name="40% - Accent5 5 2 2 3" xfId="11182"/>
    <cellStyle name="40% - Accent5 5 2 2 3 2" xfId="11183"/>
    <cellStyle name="40% - Accent5 5 2 2 3 2 2" xfId="11184"/>
    <cellStyle name="40% - Accent5 5 2 2 3 2 3" xfId="23170"/>
    <cellStyle name="40% - Accent5 5 2 2 3 3" xfId="11185"/>
    <cellStyle name="40% - Accent5 5 2 2 3 4" xfId="20587"/>
    <cellStyle name="40% - Accent5 5 2 2 4" xfId="11186"/>
    <cellStyle name="40% - Accent5 5 2 2 4 2" xfId="11187"/>
    <cellStyle name="40% - Accent5 5 2 2 4 3" xfId="21880"/>
    <cellStyle name="40% - Accent5 5 2 2 5" xfId="11188"/>
    <cellStyle name="40% - Accent5 5 2 2 6" xfId="19290"/>
    <cellStyle name="40% - Accent5 5 2 3" xfId="11189"/>
    <cellStyle name="40% - Accent5 5 2 3 2" xfId="11190"/>
    <cellStyle name="40% - Accent5 5 2 3 2 2" xfId="11191"/>
    <cellStyle name="40% - Accent5 5 2 3 2 2 2" xfId="11192"/>
    <cellStyle name="40% - Accent5 5 2 3 2 2 3" xfId="23493"/>
    <cellStyle name="40% - Accent5 5 2 3 2 3" xfId="11193"/>
    <cellStyle name="40% - Accent5 5 2 3 2 4" xfId="20910"/>
    <cellStyle name="40% - Accent5 5 2 3 3" xfId="11194"/>
    <cellStyle name="40% - Accent5 5 2 3 3 2" xfId="11195"/>
    <cellStyle name="40% - Accent5 5 2 3 3 3" xfId="22203"/>
    <cellStyle name="40% - Accent5 5 2 3 4" xfId="11196"/>
    <cellStyle name="40% - Accent5 5 2 3 5" xfId="19616"/>
    <cellStyle name="40% - Accent5 5 2 4" xfId="11197"/>
    <cellStyle name="40% - Accent5 5 2 4 2" xfId="11198"/>
    <cellStyle name="40% - Accent5 5 2 4 2 2" xfId="11199"/>
    <cellStyle name="40% - Accent5 5 2 4 2 3" xfId="22848"/>
    <cellStyle name="40% - Accent5 5 2 4 3" xfId="11200"/>
    <cellStyle name="40% - Accent5 5 2 4 4" xfId="20265"/>
    <cellStyle name="40% - Accent5 5 2 5" xfId="11201"/>
    <cellStyle name="40% - Accent5 5 2 5 2" xfId="11202"/>
    <cellStyle name="40% - Accent5 5 2 5 3" xfId="21558"/>
    <cellStyle name="40% - Accent5 5 2 6" xfId="11203"/>
    <cellStyle name="40% - Accent5 5 2 7" xfId="18964"/>
    <cellStyle name="40% - Accent5 5 3" xfId="11204"/>
    <cellStyle name="40% - Accent5 5 3 2" xfId="11205"/>
    <cellStyle name="40% - Accent5 5 3 2 2" xfId="11206"/>
    <cellStyle name="40% - Accent5 5 3 2 2 2" xfId="11207"/>
    <cellStyle name="40% - Accent5 5 3 2 2 2 2" xfId="11208"/>
    <cellStyle name="40% - Accent5 5 3 2 2 2 3" xfId="23654"/>
    <cellStyle name="40% - Accent5 5 3 2 2 3" xfId="11209"/>
    <cellStyle name="40% - Accent5 5 3 2 2 4" xfId="21071"/>
    <cellStyle name="40% - Accent5 5 3 2 3" xfId="11210"/>
    <cellStyle name="40% - Accent5 5 3 2 3 2" xfId="11211"/>
    <cellStyle name="40% - Accent5 5 3 2 3 3" xfId="22364"/>
    <cellStyle name="40% - Accent5 5 3 2 4" xfId="11212"/>
    <cellStyle name="40% - Accent5 5 3 2 5" xfId="19777"/>
    <cellStyle name="40% - Accent5 5 3 3" xfId="11213"/>
    <cellStyle name="40% - Accent5 5 3 3 2" xfId="11214"/>
    <cellStyle name="40% - Accent5 5 3 3 2 2" xfId="11215"/>
    <cellStyle name="40% - Accent5 5 3 3 2 3" xfId="23009"/>
    <cellStyle name="40% - Accent5 5 3 3 3" xfId="11216"/>
    <cellStyle name="40% - Accent5 5 3 3 4" xfId="20426"/>
    <cellStyle name="40% - Accent5 5 3 4" xfId="11217"/>
    <cellStyle name="40% - Accent5 5 3 4 2" xfId="11218"/>
    <cellStyle name="40% - Accent5 5 3 4 3" xfId="21719"/>
    <cellStyle name="40% - Accent5 5 3 5" xfId="11219"/>
    <cellStyle name="40% - Accent5 5 3 6" xfId="19129"/>
    <cellStyle name="40% - Accent5 5 4" xfId="11220"/>
    <cellStyle name="40% - Accent5 5 4 2" xfId="11221"/>
    <cellStyle name="40% - Accent5 5 4 2 2" xfId="11222"/>
    <cellStyle name="40% - Accent5 5 4 2 2 2" xfId="11223"/>
    <cellStyle name="40% - Accent5 5 4 2 2 3" xfId="23332"/>
    <cellStyle name="40% - Accent5 5 4 2 3" xfId="11224"/>
    <cellStyle name="40% - Accent5 5 4 2 4" xfId="20749"/>
    <cellStyle name="40% - Accent5 5 4 3" xfId="11225"/>
    <cellStyle name="40% - Accent5 5 4 3 2" xfId="11226"/>
    <cellStyle name="40% - Accent5 5 4 3 3" xfId="22042"/>
    <cellStyle name="40% - Accent5 5 4 4" xfId="11227"/>
    <cellStyle name="40% - Accent5 5 4 5" xfId="19455"/>
    <cellStyle name="40% - Accent5 5 5" xfId="11228"/>
    <cellStyle name="40% - Accent5 5 5 2" xfId="11229"/>
    <cellStyle name="40% - Accent5 5 5 2 2" xfId="11230"/>
    <cellStyle name="40% - Accent5 5 5 2 3" xfId="22687"/>
    <cellStyle name="40% - Accent5 5 5 3" xfId="11231"/>
    <cellStyle name="40% - Accent5 5 5 4" xfId="20104"/>
    <cellStyle name="40% - Accent5 5 6" xfId="11232"/>
    <cellStyle name="40% - Accent5 5 6 2" xfId="11233"/>
    <cellStyle name="40% - Accent5 5 6 3" xfId="21397"/>
    <cellStyle name="40% - Accent5 5 7" xfId="11234"/>
    <cellStyle name="40% - Accent5 5 8" xfId="18791"/>
    <cellStyle name="40% - Accent5 6" xfId="11235"/>
    <cellStyle name="40% - Accent5 6 2" xfId="11236"/>
    <cellStyle name="40% - Accent5 6 2 2" xfId="11237"/>
    <cellStyle name="40% - Accent5 6 2 2 2" xfId="11238"/>
    <cellStyle name="40% - Accent5 6 2 2 2 2" xfId="11239"/>
    <cellStyle name="40% - Accent5 6 2 2 2 2 2" xfId="11240"/>
    <cellStyle name="40% - Accent5 6 2 2 2 2 3" xfId="23735"/>
    <cellStyle name="40% - Accent5 6 2 2 2 3" xfId="11241"/>
    <cellStyle name="40% - Accent5 6 2 2 2 4" xfId="21152"/>
    <cellStyle name="40% - Accent5 6 2 2 3" xfId="11242"/>
    <cellStyle name="40% - Accent5 6 2 2 3 2" xfId="11243"/>
    <cellStyle name="40% - Accent5 6 2 2 3 3" xfId="22445"/>
    <cellStyle name="40% - Accent5 6 2 2 4" xfId="11244"/>
    <cellStyle name="40% - Accent5 6 2 2 5" xfId="19858"/>
    <cellStyle name="40% - Accent5 6 2 3" xfId="11245"/>
    <cellStyle name="40% - Accent5 6 2 3 2" xfId="11246"/>
    <cellStyle name="40% - Accent5 6 2 3 2 2" xfId="11247"/>
    <cellStyle name="40% - Accent5 6 2 3 2 3" xfId="23090"/>
    <cellStyle name="40% - Accent5 6 2 3 3" xfId="11248"/>
    <cellStyle name="40% - Accent5 6 2 3 4" xfId="20507"/>
    <cellStyle name="40% - Accent5 6 2 4" xfId="11249"/>
    <cellStyle name="40% - Accent5 6 2 4 2" xfId="11250"/>
    <cellStyle name="40% - Accent5 6 2 4 3" xfId="21800"/>
    <cellStyle name="40% - Accent5 6 2 5" xfId="11251"/>
    <cellStyle name="40% - Accent5 6 2 6" xfId="19210"/>
    <cellStyle name="40% - Accent5 6 3" xfId="11252"/>
    <cellStyle name="40% - Accent5 6 3 2" xfId="11253"/>
    <cellStyle name="40% - Accent5 6 3 2 2" xfId="11254"/>
    <cellStyle name="40% - Accent5 6 3 2 2 2" xfId="11255"/>
    <cellStyle name="40% - Accent5 6 3 2 2 3" xfId="23413"/>
    <cellStyle name="40% - Accent5 6 3 2 3" xfId="11256"/>
    <cellStyle name="40% - Accent5 6 3 2 4" xfId="20830"/>
    <cellStyle name="40% - Accent5 6 3 3" xfId="11257"/>
    <cellStyle name="40% - Accent5 6 3 3 2" xfId="11258"/>
    <cellStyle name="40% - Accent5 6 3 3 3" xfId="22123"/>
    <cellStyle name="40% - Accent5 6 3 4" xfId="11259"/>
    <cellStyle name="40% - Accent5 6 3 5" xfId="19536"/>
    <cellStyle name="40% - Accent5 6 4" xfId="11260"/>
    <cellStyle name="40% - Accent5 6 4 2" xfId="11261"/>
    <cellStyle name="40% - Accent5 6 4 2 2" xfId="11262"/>
    <cellStyle name="40% - Accent5 6 4 2 3" xfId="22768"/>
    <cellStyle name="40% - Accent5 6 4 3" xfId="11263"/>
    <cellStyle name="40% - Accent5 6 4 4" xfId="20185"/>
    <cellStyle name="40% - Accent5 6 5" xfId="11264"/>
    <cellStyle name="40% - Accent5 6 5 2" xfId="11265"/>
    <cellStyle name="40% - Accent5 6 5 3" xfId="21478"/>
    <cellStyle name="40% - Accent5 6 6" xfId="11266"/>
    <cellStyle name="40% - Accent5 6 7" xfId="18880"/>
    <cellStyle name="40% - Accent5 7" xfId="11267"/>
    <cellStyle name="40% - Accent5 7 2" xfId="11268"/>
    <cellStyle name="40% - Accent5 7 2 2" xfId="11269"/>
    <cellStyle name="40% - Accent5 7 2 2 2" xfId="11270"/>
    <cellStyle name="40% - Accent5 7 2 2 2 2" xfId="11271"/>
    <cellStyle name="40% - Accent5 7 2 2 2 3" xfId="23574"/>
    <cellStyle name="40% - Accent5 7 2 2 3" xfId="11272"/>
    <cellStyle name="40% - Accent5 7 2 2 4" xfId="20991"/>
    <cellStyle name="40% - Accent5 7 2 3" xfId="11273"/>
    <cellStyle name="40% - Accent5 7 2 3 2" xfId="11274"/>
    <cellStyle name="40% - Accent5 7 2 3 3" xfId="22284"/>
    <cellStyle name="40% - Accent5 7 2 4" xfId="11275"/>
    <cellStyle name="40% - Accent5 7 2 5" xfId="19697"/>
    <cellStyle name="40% - Accent5 7 3" xfId="11276"/>
    <cellStyle name="40% - Accent5 7 3 2" xfId="11277"/>
    <cellStyle name="40% - Accent5 7 3 2 2" xfId="11278"/>
    <cellStyle name="40% - Accent5 7 3 2 3" xfId="22929"/>
    <cellStyle name="40% - Accent5 7 3 3" xfId="11279"/>
    <cellStyle name="40% - Accent5 7 3 4" xfId="20346"/>
    <cellStyle name="40% - Accent5 7 4" xfId="11280"/>
    <cellStyle name="40% - Accent5 7 4 2" xfId="11281"/>
    <cellStyle name="40% - Accent5 7 4 3" xfId="21639"/>
    <cellStyle name="40% - Accent5 7 5" xfId="11282"/>
    <cellStyle name="40% - Accent5 7 6" xfId="19045"/>
    <cellStyle name="40% - Accent5 8" xfId="11283"/>
    <cellStyle name="40% - Accent5 8 2" xfId="11284"/>
    <cellStyle name="40% - Accent5 8 2 2" xfId="11285"/>
    <cellStyle name="40% - Accent5 8 2 2 2" xfId="11286"/>
    <cellStyle name="40% - Accent5 8 2 2 3" xfId="23251"/>
    <cellStyle name="40% - Accent5 8 2 3" xfId="11287"/>
    <cellStyle name="40% - Accent5 8 2 4" xfId="20668"/>
    <cellStyle name="40% - Accent5 8 3" xfId="11288"/>
    <cellStyle name="40% - Accent5 8 3 2" xfId="11289"/>
    <cellStyle name="40% - Accent5 8 3 3" xfId="21961"/>
    <cellStyle name="40% - Accent5 8 4" xfId="11290"/>
    <cellStyle name="40% - Accent5 8 5" xfId="19371"/>
    <cellStyle name="40% - Accent5 9" xfId="11291"/>
    <cellStyle name="40% - Accent5 9 2" xfId="11292"/>
    <cellStyle name="40% - Accent5 9 2 2" xfId="11293"/>
    <cellStyle name="40% - Accent5 9 2 3" xfId="22606"/>
    <cellStyle name="40% - Accent5 9 3" xfId="11294"/>
    <cellStyle name="40% - Accent5 9 4" xfId="20019"/>
    <cellStyle name="40% - Accent6 10" xfId="11295"/>
    <cellStyle name="40% - Accent6 10 2" xfId="11296"/>
    <cellStyle name="40% - Accent6 10 3" xfId="21314"/>
    <cellStyle name="40% - Accent6 11" xfId="11297"/>
    <cellStyle name="40% - Accent6 12" xfId="11298"/>
    <cellStyle name="40% - Accent6 13" xfId="11299"/>
    <cellStyle name="40% - Accent6 14" xfId="11300"/>
    <cellStyle name="40% - Accent6 15" xfId="18629"/>
    <cellStyle name="40% - Accent6 2" xfId="11301"/>
    <cellStyle name="40% - Accent6 2 10" xfId="11302"/>
    <cellStyle name="40% - Accent6 2 11" xfId="18641"/>
    <cellStyle name="40% - Accent6 2 2" xfId="11303"/>
    <cellStyle name="40% - Accent6 2 2 10" xfId="18730"/>
    <cellStyle name="40% - Accent6 2 2 2" xfId="11304"/>
    <cellStyle name="40% - Accent6 2 2 2 2" xfId="11305"/>
    <cellStyle name="40% - Accent6 2 2 2 2 2" xfId="11306"/>
    <cellStyle name="40% - Accent6 2 2 2 2 2 2" xfId="11307"/>
    <cellStyle name="40% - Accent6 2 2 2 2 2 2 2" xfId="11308"/>
    <cellStyle name="40% - Accent6 2 2 2 2 2 2 2 2" xfId="11309"/>
    <cellStyle name="40% - Accent6 2 2 2 2 2 2 2 2 2" xfId="11310"/>
    <cellStyle name="40% - Accent6 2 2 2 2 2 2 2 2 2 2" xfId="11311"/>
    <cellStyle name="40% - Accent6 2 2 2 2 2 2 2 2 2 3" xfId="23887"/>
    <cellStyle name="40% - Accent6 2 2 2 2 2 2 2 2 3" xfId="11312"/>
    <cellStyle name="40% - Accent6 2 2 2 2 2 2 2 2 4" xfId="21304"/>
    <cellStyle name="40% - Accent6 2 2 2 2 2 2 2 3" xfId="11313"/>
    <cellStyle name="40% - Accent6 2 2 2 2 2 2 2 3 2" xfId="11314"/>
    <cellStyle name="40% - Accent6 2 2 2 2 2 2 2 3 3" xfId="22597"/>
    <cellStyle name="40% - Accent6 2 2 2 2 2 2 2 4" xfId="11315"/>
    <cellStyle name="40% - Accent6 2 2 2 2 2 2 2 5" xfId="20010"/>
    <cellStyle name="40% - Accent6 2 2 2 2 2 2 3" xfId="11316"/>
    <cellStyle name="40% - Accent6 2 2 2 2 2 2 3 2" xfId="11317"/>
    <cellStyle name="40% - Accent6 2 2 2 2 2 2 3 2 2" xfId="11318"/>
    <cellStyle name="40% - Accent6 2 2 2 2 2 2 3 2 3" xfId="23242"/>
    <cellStyle name="40% - Accent6 2 2 2 2 2 2 3 3" xfId="11319"/>
    <cellStyle name="40% - Accent6 2 2 2 2 2 2 3 4" xfId="20659"/>
    <cellStyle name="40% - Accent6 2 2 2 2 2 2 4" xfId="11320"/>
    <cellStyle name="40% - Accent6 2 2 2 2 2 2 4 2" xfId="11321"/>
    <cellStyle name="40% - Accent6 2 2 2 2 2 2 4 3" xfId="21952"/>
    <cellStyle name="40% - Accent6 2 2 2 2 2 2 5" xfId="11322"/>
    <cellStyle name="40% - Accent6 2 2 2 2 2 2 6" xfId="19362"/>
    <cellStyle name="40% - Accent6 2 2 2 2 2 3" xfId="11323"/>
    <cellStyle name="40% - Accent6 2 2 2 2 2 3 2" xfId="11324"/>
    <cellStyle name="40% - Accent6 2 2 2 2 2 3 2 2" xfId="11325"/>
    <cellStyle name="40% - Accent6 2 2 2 2 2 3 2 2 2" xfId="11326"/>
    <cellStyle name="40% - Accent6 2 2 2 2 2 3 2 2 3" xfId="23565"/>
    <cellStyle name="40% - Accent6 2 2 2 2 2 3 2 3" xfId="11327"/>
    <cellStyle name="40% - Accent6 2 2 2 2 2 3 2 4" xfId="20982"/>
    <cellStyle name="40% - Accent6 2 2 2 2 2 3 3" xfId="11328"/>
    <cellStyle name="40% - Accent6 2 2 2 2 2 3 3 2" xfId="11329"/>
    <cellStyle name="40% - Accent6 2 2 2 2 2 3 3 3" xfId="22275"/>
    <cellStyle name="40% - Accent6 2 2 2 2 2 3 4" xfId="11330"/>
    <cellStyle name="40% - Accent6 2 2 2 2 2 3 5" xfId="19688"/>
    <cellStyle name="40% - Accent6 2 2 2 2 2 4" xfId="11331"/>
    <cellStyle name="40% - Accent6 2 2 2 2 2 4 2" xfId="11332"/>
    <cellStyle name="40% - Accent6 2 2 2 2 2 4 2 2" xfId="11333"/>
    <cellStyle name="40% - Accent6 2 2 2 2 2 4 2 3" xfId="22920"/>
    <cellStyle name="40% - Accent6 2 2 2 2 2 4 3" xfId="11334"/>
    <cellStyle name="40% - Accent6 2 2 2 2 2 4 4" xfId="20337"/>
    <cellStyle name="40% - Accent6 2 2 2 2 2 5" xfId="11335"/>
    <cellStyle name="40% - Accent6 2 2 2 2 2 5 2" xfId="11336"/>
    <cellStyle name="40% - Accent6 2 2 2 2 2 5 3" xfId="21630"/>
    <cellStyle name="40% - Accent6 2 2 2 2 2 6" xfId="11337"/>
    <cellStyle name="40% - Accent6 2 2 2 2 2 7" xfId="19036"/>
    <cellStyle name="40% - Accent6 2 2 2 2 3" xfId="11338"/>
    <cellStyle name="40% - Accent6 2 2 2 2 3 2" xfId="11339"/>
    <cellStyle name="40% - Accent6 2 2 2 2 3 2 2" xfId="11340"/>
    <cellStyle name="40% - Accent6 2 2 2 2 3 2 2 2" xfId="11341"/>
    <cellStyle name="40% - Accent6 2 2 2 2 3 2 2 2 2" xfId="11342"/>
    <cellStyle name="40% - Accent6 2 2 2 2 3 2 2 2 3" xfId="23726"/>
    <cellStyle name="40% - Accent6 2 2 2 2 3 2 2 3" xfId="11343"/>
    <cellStyle name="40% - Accent6 2 2 2 2 3 2 2 4" xfId="21143"/>
    <cellStyle name="40% - Accent6 2 2 2 2 3 2 3" xfId="11344"/>
    <cellStyle name="40% - Accent6 2 2 2 2 3 2 3 2" xfId="11345"/>
    <cellStyle name="40% - Accent6 2 2 2 2 3 2 3 3" xfId="22436"/>
    <cellStyle name="40% - Accent6 2 2 2 2 3 2 4" xfId="11346"/>
    <cellStyle name="40% - Accent6 2 2 2 2 3 2 5" xfId="19849"/>
    <cellStyle name="40% - Accent6 2 2 2 2 3 3" xfId="11347"/>
    <cellStyle name="40% - Accent6 2 2 2 2 3 3 2" xfId="11348"/>
    <cellStyle name="40% - Accent6 2 2 2 2 3 3 2 2" xfId="11349"/>
    <cellStyle name="40% - Accent6 2 2 2 2 3 3 2 3" xfId="23081"/>
    <cellStyle name="40% - Accent6 2 2 2 2 3 3 3" xfId="11350"/>
    <cellStyle name="40% - Accent6 2 2 2 2 3 3 4" xfId="20498"/>
    <cellStyle name="40% - Accent6 2 2 2 2 3 4" xfId="11351"/>
    <cellStyle name="40% - Accent6 2 2 2 2 3 4 2" xfId="11352"/>
    <cellStyle name="40% - Accent6 2 2 2 2 3 4 3" xfId="21791"/>
    <cellStyle name="40% - Accent6 2 2 2 2 3 5" xfId="11353"/>
    <cellStyle name="40% - Accent6 2 2 2 2 3 6" xfId="19201"/>
    <cellStyle name="40% - Accent6 2 2 2 2 4" xfId="11354"/>
    <cellStyle name="40% - Accent6 2 2 2 2 4 2" xfId="11355"/>
    <cellStyle name="40% - Accent6 2 2 2 2 4 2 2" xfId="11356"/>
    <cellStyle name="40% - Accent6 2 2 2 2 4 2 2 2" xfId="11357"/>
    <cellStyle name="40% - Accent6 2 2 2 2 4 2 2 3" xfId="23404"/>
    <cellStyle name="40% - Accent6 2 2 2 2 4 2 3" xfId="11358"/>
    <cellStyle name="40% - Accent6 2 2 2 2 4 2 4" xfId="20821"/>
    <cellStyle name="40% - Accent6 2 2 2 2 4 3" xfId="11359"/>
    <cellStyle name="40% - Accent6 2 2 2 2 4 3 2" xfId="11360"/>
    <cellStyle name="40% - Accent6 2 2 2 2 4 3 3" xfId="22114"/>
    <cellStyle name="40% - Accent6 2 2 2 2 4 4" xfId="11361"/>
    <cellStyle name="40% - Accent6 2 2 2 2 4 5" xfId="19527"/>
    <cellStyle name="40% - Accent6 2 2 2 2 5" xfId="11362"/>
    <cellStyle name="40% - Accent6 2 2 2 2 5 2" xfId="11363"/>
    <cellStyle name="40% - Accent6 2 2 2 2 5 2 2" xfId="11364"/>
    <cellStyle name="40% - Accent6 2 2 2 2 5 2 3" xfId="22759"/>
    <cellStyle name="40% - Accent6 2 2 2 2 5 3" xfId="11365"/>
    <cellStyle name="40% - Accent6 2 2 2 2 5 4" xfId="20176"/>
    <cellStyle name="40% - Accent6 2 2 2 2 6" xfId="11366"/>
    <cellStyle name="40% - Accent6 2 2 2 2 6 2" xfId="11367"/>
    <cellStyle name="40% - Accent6 2 2 2 2 6 3" xfId="21469"/>
    <cellStyle name="40% - Accent6 2 2 2 2 7" xfId="11368"/>
    <cellStyle name="40% - Accent6 2 2 2 2 8" xfId="18871"/>
    <cellStyle name="40% - Accent6 2 2 2 3" xfId="11369"/>
    <cellStyle name="40% - Accent6 2 2 2 3 2" xfId="11370"/>
    <cellStyle name="40% - Accent6 2 2 2 3 2 2" xfId="11371"/>
    <cellStyle name="40% - Accent6 2 2 2 3 2 2 2" xfId="11372"/>
    <cellStyle name="40% - Accent6 2 2 2 3 2 2 2 2" xfId="11373"/>
    <cellStyle name="40% - Accent6 2 2 2 3 2 2 2 2 2" xfId="11374"/>
    <cellStyle name="40% - Accent6 2 2 2 3 2 2 2 2 3" xfId="23807"/>
    <cellStyle name="40% - Accent6 2 2 2 3 2 2 2 3" xfId="11375"/>
    <cellStyle name="40% - Accent6 2 2 2 3 2 2 2 4" xfId="21224"/>
    <cellStyle name="40% - Accent6 2 2 2 3 2 2 3" xfId="11376"/>
    <cellStyle name="40% - Accent6 2 2 2 3 2 2 3 2" xfId="11377"/>
    <cellStyle name="40% - Accent6 2 2 2 3 2 2 3 3" xfId="22517"/>
    <cellStyle name="40% - Accent6 2 2 2 3 2 2 4" xfId="11378"/>
    <cellStyle name="40% - Accent6 2 2 2 3 2 2 5" xfId="19930"/>
    <cellStyle name="40% - Accent6 2 2 2 3 2 3" xfId="11379"/>
    <cellStyle name="40% - Accent6 2 2 2 3 2 3 2" xfId="11380"/>
    <cellStyle name="40% - Accent6 2 2 2 3 2 3 2 2" xfId="11381"/>
    <cellStyle name="40% - Accent6 2 2 2 3 2 3 2 3" xfId="23162"/>
    <cellStyle name="40% - Accent6 2 2 2 3 2 3 3" xfId="11382"/>
    <cellStyle name="40% - Accent6 2 2 2 3 2 3 4" xfId="20579"/>
    <cellStyle name="40% - Accent6 2 2 2 3 2 4" xfId="11383"/>
    <cellStyle name="40% - Accent6 2 2 2 3 2 4 2" xfId="11384"/>
    <cellStyle name="40% - Accent6 2 2 2 3 2 4 3" xfId="21872"/>
    <cellStyle name="40% - Accent6 2 2 2 3 2 5" xfId="11385"/>
    <cellStyle name="40% - Accent6 2 2 2 3 2 6" xfId="19282"/>
    <cellStyle name="40% - Accent6 2 2 2 3 3" xfId="11386"/>
    <cellStyle name="40% - Accent6 2 2 2 3 3 2" xfId="11387"/>
    <cellStyle name="40% - Accent6 2 2 2 3 3 2 2" xfId="11388"/>
    <cellStyle name="40% - Accent6 2 2 2 3 3 2 2 2" xfId="11389"/>
    <cellStyle name="40% - Accent6 2 2 2 3 3 2 2 3" xfId="23485"/>
    <cellStyle name="40% - Accent6 2 2 2 3 3 2 3" xfId="11390"/>
    <cellStyle name="40% - Accent6 2 2 2 3 3 2 4" xfId="20902"/>
    <cellStyle name="40% - Accent6 2 2 2 3 3 3" xfId="11391"/>
    <cellStyle name="40% - Accent6 2 2 2 3 3 3 2" xfId="11392"/>
    <cellStyle name="40% - Accent6 2 2 2 3 3 3 3" xfId="22195"/>
    <cellStyle name="40% - Accent6 2 2 2 3 3 4" xfId="11393"/>
    <cellStyle name="40% - Accent6 2 2 2 3 3 5" xfId="19608"/>
    <cellStyle name="40% - Accent6 2 2 2 3 4" xfId="11394"/>
    <cellStyle name="40% - Accent6 2 2 2 3 4 2" xfId="11395"/>
    <cellStyle name="40% - Accent6 2 2 2 3 4 2 2" xfId="11396"/>
    <cellStyle name="40% - Accent6 2 2 2 3 4 2 3" xfId="22840"/>
    <cellStyle name="40% - Accent6 2 2 2 3 4 3" xfId="11397"/>
    <cellStyle name="40% - Accent6 2 2 2 3 4 4" xfId="20257"/>
    <cellStyle name="40% - Accent6 2 2 2 3 5" xfId="11398"/>
    <cellStyle name="40% - Accent6 2 2 2 3 5 2" xfId="11399"/>
    <cellStyle name="40% - Accent6 2 2 2 3 5 3" xfId="21550"/>
    <cellStyle name="40% - Accent6 2 2 2 3 6" xfId="11400"/>
    <cellStyle name="40% - Accent6 2 2 2 3 7" xfId="18956"/>
    <cellStyle name="40% - Accent6 2 2 2 4" xfId="11401"/>
    <cellStyle name="40% - Accent6 2 2 2 4 2" xfId="11402"/>
    <cellStyle name="40% - Accent6 2 2 2 4 2 2" xfId="11403"/>
    <cellStyle name="40% - Accent6 2 2 2 4 2 2 2" xfId="11404"/>
    <cellStyle name="40% - Accent6 2 2 2 4 2 2 2 2" xfId="11405"/>
    <cellStyle name="40% - Accent6 2 2 2 4 2 2 2 3" xfId="23646"/>
    <cellStyle name="40% - Accent6 2 2 2 4 2 2 3" xfId="11406"/>
    <cellStyle name="40% - Accent6 2 2 2 4 2 2 4" xfId="21063"/>
    <cellStyle name="40% - Accent6 2 2 2 4 2 3" xfId="11407"/>
    <cellStyle name="40% - Accent6 2 2 2 4 2 3 2" xfId="11408"/>
    <cellStyle name="40% - Accent6 2 2 2 4 2 3 3" xfId="22356"/>
    <cellStyle name="40% - Accent6 2 2 2 4 2 4" xfId="11409"/>
    <cellStyle name="40% - Accent6 2 2 2 4 2 5" xfId="19769"/>
    <cellStyle name="40% - Accent6 2 2 2 4 3" xfId="11410"/>
    <cellStyle name="40% - Accent6 2 2 2 4 3 2" xfId="11411"/>
    <cellStyle name="40% - Accent6 2 2 2 4 3 2 2" xfId="11412"/>
    <cellStyle name="40% - Accent6 2 2 2 4 3 2 3" xfId="23001"/>
    <cellStyle name="40% - Accent6 2 2 2 4 3 3" xfId="11413"/>
    <cellStyle name="40% - Accent6 2 2 2 4 3 4" xfId="20418"/>
    <cellStyle name="40% - Accent6 2 2 2 4 4" xfId="11414"/>
    <cellStyle name="40% - Accent6 2 2 2 4 4 2" xfId="11415"/>
    <cellStyle name="40% - Accent6 2 2 2 4 4 3" xfId="21711"/>
    <cellStyle name="40% - Accent6 2 2 2 4 5" xfId="11416"/>
    <cellStyle name="40% - Accent6 2 2 2 4 6" xfId="19121"/>
    <cellStyle name="40% - Accent6 2 2 2 5" xfId="11417"/>
    <cellStyle name="40% - Accent6 2 2 2 5 2" xfId="11418"/>
    <cellStyle name="40% - Accent6 2 2 2 5 2 2" xfId="11419"/>
    <cellStyle name="40% - Accent6 2 2 2 5 2 2 2" xfId="11420"/>
    <cellStyle name="40% - Accent6 2 2 2 5 2 2 3" xfId="23323"/>
    <cellStyle name="40% - Accent6 2 2 2 5 2 3" xfId="11421"/>
    <cellStyle name="40% - Accent6 2 2 2 5 2 4" xfId="20740"/>
    <cellStyle name="40% - Accent6 2 2 2 5 3" xfId="11422"/>
    <cellStyle name="40% - Accent6 2 2 2 5 3 2" xfId="11423"/>
    <cellStyle name="40% - Accent6 2 2 2 5 3 3" xfId="22033"/>
    <cellStyle name="40% - Accent6 2 2 2 5 4" xfId="11424"/>
    <cellStyle name="40% - Accent6 2 2 2 5 5" xfId="19447"/>
    <cellStyle name="40% - Accent6 2 2 2 6" xfId="11425"/>
    <cellStyle name="40% - Accent6 2 2 2 6 2" xfId="11426"/>
    <cellStyle name="40% - Accent6 2 2 2 6 2 2" xfId="11427"/>
    <cellStyle name="40% - Accent6 2 2 2 6 2 3" xfId="22678"/>
    <cellStyle name="40% - Accent6 2 2 2 6 3" xfId="11428"/>
    <cellStyle name="40% - Accent6 2 2 2 6 4" xfId="20095"/>
    <cellStyle name="40% - Accent6 2 2 2 7" xfId="11429"/>
    <cellStyle name="40% - Accent6 2 2 2 7 2" xfId="11430"/>
    <cellStyle name="40% - Accent6 2 2 2 7 3" xfId="21388"/>
    <cellStyle name="40% - Accent6 2 2 2 8" xfId="11431"/>
    <cellStyle name="40% - Accent6 2 2 2 9" xfId="18774"/>
    <cellStyle name="40% - Accent6 2 2 3" xfId="11432"/>
    <cellStyle name="40% - Accent6 2 2 3 2" xfId="11433"/>
    <cellStyle name="40% - Accent6 2 2 3 2 2" xfId="11434"/>
    <cellStyle name="40% - Accent6 2 2 3 2 2 2" xfId="11435"/>
    <cellStyle name="40% - Accent6 2 2 3 2 2 2 2" xfId="11436"/>
    <cellStyle name="40% - Accent6 2 2 3 2 2 2 2 2" xfId="11437"/>
    <cellStyle name="40% - Accent6 2 2 3 2 2 2 2 2 2" xfId="11438"/>
    <cellStyle name="40% - Accent6 2 2 3 2 2 2 2 2 3" xfId="23847"/>
    <cellStyle name="40% - Accent6 2 2 3 2 2 2 2 3" xfId="11439"/>
    <cellStyle name="40% - Accent6 2 2 3 2 2 2 2 4" xfId="21264"/>
    <cellStyle name="40% - Accent6 2 2 3 2 2 2 3" xfId="11440"/>
    <cellStyle name="40% - Accent6 2 2 3 2 2 2 3 2" xfId="11441"/>
    <cellStyle name="40% - Accent6 2 2 3 2 2 2 3 3" xfId="22557"/>
    <cellStyle name="40% - Accent6 2 2 3 2 2 2 4" xfId="11442"/>
    <cellStyle name="40% - Accent6 2 2 3 2 2 2 5" xfId="19970"/>
    <cellStyle name="40% - Accent6 2 2 3 2 2 3" xfId="11443"/>
    <cellStyle name="40% - Accent6 2 2 3 2 2 3 2" xfId="11444"/>
    <cellStyle name="40% - Accent6 2 2 3 2 2 3 2 2" xfId="11445"/>
    <cellStyle name="40% - Accent6 2 2 3 2 2 3 2 3" xfId="23202"/>
    <cellStyle name="40% - Accent6 2 2 3 2 2 3 3" xfId="11446"/>
    <cellStyle name="40% - Accent6 2 2 3 2 2 3 4" xfId="20619"/>
    <cellStyle name="40% - Accent6 2 2 3 2 2 4" xfId="11447"/>
    <cellStyle name="40% - Accent6 2 2 3 2 2 4 2" xfId="11448"/>
    <cellStyle name="40% - Accent6 2 2 3 2 2 4 3" xfId="21912"/>
    <cellStyle name="40% - Accent6 2 2 3 2 2 5" xfId="11449"/>
    <cellStyle name="40% - Accent6 2 2 3 2 2 6" xfId="19322"/>
    <cellStyle name="40% - Accent6 2 2 3 2 3" xfId="11450"/>
    <cellStyle name="40% - Accent6 2 2 3 2 3 2" xfId="11451"/>
    <cellStyle name="40% - Accent6 2 2 3 2 3 2 2" xfId="11452"/>
    <cellStyle name="40% - Accent6 2 2 3 2 3 2 2 2" xfId="11453"/>
    <cellStyle name="40% - Accent6 2 2 3 2 3 2 2 3" xfId="23525"/>
    <cellStyle name="40% - Accent6 2 2 3 2 3 2 3" xfId="11454"/>
    <cellStyle name="40% - Accent6 2 2 3 2 3 2 4" xfId="20942"/>
    <cellStyle name="40% - Accent6 2 2 3 2 3 3" xfId="11455"/>
    <cellStyle name="40% - Accent6 2 2 3 2 3 3 2" xfId="11456"/>
    <cellStyle name="40% - Accent6 2 2 3 2 3 3 3" xfId="22235"/>
    <cellStyle name="40% - Accent6 2 2 3 2 3 4" xfId="11457"/>
    <cellStyle name="40% - Accent6 2 2 3 2 3 5" xfId="19648"/>
    <cellStyle name="40% - Accent6 2 2 3 2 4" xfId="11458"/>
    <cellStyle name="40% - Accent6 2 2 3 2 4 2" xfId="11459"/>
    <cellStyle name="40% - Accent6 2 2 3 2 4 2 2" xfId="11460"/>
    <cellStyle name="40% - Accent6 2 2 3 2 4 2 3" xfId="22880"/>
    <cellStyle name="40% - Accent6 2 2 3 2 4 3" xfId="11461"/>
    <cellStyle name="40% - Accent6 2 2 3 2 4 4" xfId="20297"/>
    <cellStyle name="40% - Accent6 2 2 3 2 5" xfId="11462"/>
    <cellStyle name="40% - Accent6 2 2 3 2 5 2" xfId="11463"/>
    <cellStyle name="40% - Accent6 2 2 3 2 5 3" xfId="21590"/>
    <cellStyle name="40% - Accent6 2 2 3 2 6" xfId="11464"/>
    <cellStyle name="40% - Accent6 2 2 3 2 7" xfId="18996"/>
    <cellStyle name="40% - Accent6 2 2 3 3" xfId="11465"/>
    <cellStyle name="40% - Accent6 2 2 3 3 2" xfId="11466"/>
    <cellStyle name="40% - Accent6 2 2 3 3 2 2" xfId="11467"/>
    <cellStyle name="40% - Accent6 2 2 3 3 2 2 2" xfId="11468"/>
    <cellStyle name="40% - Accent6 2 2 3 3 2 2 2 2" xfId="11469"/>
    <cellStyle name="40% - Accent6 2 2 3 3 2 2 2 3" xfId="23686"/>
    <cellStyle name="40% - Accent6 2 2 3 3 2 2 3" xfId="11470"/>
    <cellStyle name="40% - Accent6 2 2 3 3 2 2 4" xfId="21103"/>
    <cellStyle name="40% - Accent6 2 2 3 3 2 3" xfId="11471"/>
    <cellStyle name="40% - Accent6 2 2 3 3 2 3 2" xfId="11472"/>
    <cellStyle name="40% - Accent6 2 2 3 3 2 3 3" xfId="22396"/>
    <cellStyle name="40% - Accent6 2 2 3 3 2 4" xfId="11473"/>
    <cellStyle name="40% - Accent6 2 2 3 3 2 5" xfId="19809"/>
    <cellStyle name="40% - Accent6 2 2 3 3 3" xfId="11474"/>
    <cellStyle name="40% - Accent6 2 2 3 3 3 2" xfId="11475"/>
    <cellStyle name="40% - Accent6 2 2 3 3 3 2 2" xfId="11476"/>
    <cellStyle name="40% - Accent6 2 2 3 3 3 2 3" xfId="23041"/>
    <cellStyle name="40% - Accent6 2 2 3 3 3 3" xfId="11477"/>
    <cellStyle name="40% - Accent6 2 2 3 3 3 4" xfId="20458"/>
    <cellStyle name="40% - Accent6 2 2 3 3 4" xfId="11478"/>
    <cellStyle name="40% - Accent6 2 2 3 3 4 2" xfId="11479"/>
    <cellStyle name="40% - Accent6 2 2 3 3 4 3" xfId="21751"/>
    <cellStyle name="40% - Accent6 2 2 3 3 5" xfId="11480"/>
    <cellStyle name="40% - Accent6 2 2 3 3 6" xfId="19161"/>
    <cellStyle name="40% - Accent6 2 2 3 4" xfId="11481"/>
    <cellStyle name="40% - Accent6 2 2 3 4 2" xfId="11482"/>
    <cellStyle name="40% - Accent6 2 2 3 4 2 2" xfId="11483"/>
    <cellStyle name="40% - Accent6 2 2 3 4 2 2 2" xfId="11484"/>
    <cellStyle name="40% - Accent6 2 2 3 4 2 2 3" xfId="23364"/>
    <cellStyle name="40% - Accent6 2 2 3 4 2 3" xfId="11485"/>
    <cellStyle name="40% - Accent6 2 2 3 4 2 4" xfId="20781"/>
    <cellStyle name="40% - Accent6 2 2 3 4 3" xfId="11486"/>
    <cellStyle name="40% - Accent6 2 2 3 4 3 2" xfId="11487"/>
    <cellStyle name="40% - Accent6 2 2 3 4 3 3" xfId="22074"/>
    <cellStyle name="40% - Accent6 2 2 3 4 4" xfId="11488"/>
    <cellStyle name="40% - Accent6 2 2 3 4 5" xfId="19487"/>
    <cellStyle name="40% - Accent6 2 2 3 5" xfId="11489"/>
    <cellStyle name="40% - Accent6 2 2 3 5 2" xfId="11490"/>
    <cellStyle name="40% - Accent6 2 2 3 5 2 2" xfId="11491"/>
    <cellStyle name="40% - Accent6 2 2 3 5 2 3" xfId="22719"/>
    <cellStyle name="40% - Accent6 2 2 3 5 3" xfId="11492"/>
    <cellStyle name="40% - Accent6 2 2 3 5 4" xfId="20136"/>
    <cellStyle name="40% - Accent6 2 2 3 6" xfId="11493"/>
    <cellStyle name="40% - Accent6 2 2 3 6 2" xfId="11494"/>
    <cellStyle name="40% - Accent6 2 2 3 6 3" xfId="21429"/>
    <cellStyle name="40% - Accent6 2 2 3 7" xfId="11495"/>
    <cellStyle name="40% - Accent6 2 2 3 8" xfId="18830"/>
    <cellStyle name="40% - Accent6 2 2 4" xfId="11496"/>
    <cellStyle name="40% - Accent6 2 2 4 2" xfId="11497"/>
    <cellStyle name="40% - Accent6 2 2 4 2 2" xfId="11498"/>
    <cellStyle name="40% - Accent6 2 2 4 2 2 2" xfId="11499"/>
    <cellStyle name="40% - Accent6 2 2 4 2 2 2 2" xfId="11500"/>
    <cellStyle name="40% - Accent6 2 2 4 2 2 2 2 2" xfId="11501"/>
    <cellStyle name="40% - Accent6 2 2 4 2 2 2 2 3" xfId="23767"/>
    <cellStyle name="40% - Accent6 2 2 4 2 2 2 3" xfId="11502"/>
    <cellStyle name="40% - Accent6 2 2 4 2 2 2 4" xfId="21184"/>
    <cellStyle name="40% - Accent6 2 2 4 2 2 3" xfId="11503"/>
    <cellStyle name="40% - Accent6 2 2 4 2 2 3 2" xfId="11504"/>
    <cellStyle name="40% - Accent6 2 2 4 2 2 3 3" xfId="22477"/>
    <cellStyle name="40% - Accent6 2 2 4 2 2 4" xfId="11505"/>
    <cellStyle name="40% - Accent6 2 2 4 2 2 5" xfId="19890"/>
    <cellStyle name="40% - Accent6 2 2 4 2 3" xfId="11506"/>
    <cellStyle name="40% - Accent6 2 2 4 2 3 2" xfId="11507"/>
    <cellStyle name="40% - Accent6 2 2 4 2 3 2 2" xfId="11508"/>
    <cellStyle name="40% - Accent6 2 2 4 2 3 2 3" xfId="23122"/>
    <cellStyle name="40% - Accent6 2 2 4 2 3 3" xfId="11509"/>
    <cellStyle name="40% - Accent6 2 2 4 2 3 4" xfId="20539"/>
    <cellStyle name="40% - Accent6 2 2 4 2 4" xfId="11510"/>
    <cellStyle name="40% - Accent6 2 2 4 2 4 2" xfId="11511"/>
    <cellStyle name="40% - Accent6 2 2 4 2 4 3" xfId="21832"/>
    <cellStyle name="40% - Accent6 2 2 4 2 5" xfId="11512"/>
    <cellStyle name="40% - Accent6 2 2 4 2 6" xfId="19242"/>
    <cellStyle name="40% - Accent6 2 2 4 3" xfId="11513"/>
    <cellStyle name="40% - Accent6 2 2 4 3 2" xfId="11514"/>
    <cellStyle name="40% - Accent6 2 2 4 3 2 2" xfId="11515"/>
    <cellStyle name="40% - Accent6 2 2 4 3 2 2 2" xfId="11516"/>
    <cellStyle name="40% - Accent6 2 2 4 3 2 2 3" xfId="23445"/>
    <cellStyle name="40% - Accent6 2 2 4 3 2 3" xfId="11517"/>
    <cellStyle name="40% - Accent6 2 2 4 3 2 4" xfId="20862"/>
    <cellStyle name="40% - Accent6 2 2 4 3 3" xfId="11518"/>
    <cellStyle name="40% - Accent6 2 2 4 3 3 2" xfId="11519"/>
    <cellStyle name="40% - Accent6 2 2 4 3 3 3" xfId="22155"/>
    <cellStyle name="40% - Accent6 2 2 4 3 4" xfId="11520"/>
    <cellStyle name="40% - Accent6 2 2 4 3 5" xfId="19568"/>
    <cellStyle name="40% - Accent6 2 2 4 4" xfId="11521"/>
    <cellStyle name="40% - Accent6 2 2 4 4 2" xfId="11522"/>
    <cellStyle name="40% - Accent6 2 2 4 4 2 2" xfId="11523"/>
    <cellStyle name="40% - Accent6 2 2 4 4 2 3" xfId="22800"/>
    <cellStyle name="40% - Accent6 2 2 4 4 3" xfId="11524"/>
    <cellStyle name="40% - Accent6 2 2 4 4 4" xfId="20217"/>
    <cellStyle name="40% - Accent6 2 2 4 5" xfId="11525"/>
    <cellStyle name="40% - Accent6 2 2 4 5 2" xfId="11526"/>
    <cellStyle name="40% - Accent6 2 2 4 5 3" xfId="21510"/>
    <cellStyle name="40% - Accent6 2 2 4 6" xfId="11527"/>
    <cellStyle name="40% - Accent6 2 2 4 7" xfId="18916"/>
    <cellStyle name="40% - Accent6 2 2 5" xfId="11528"/>
    <cellStyle name="40% - Accent6 2 2 5 2" xfId="11529"/>
    <cellStyle name="40% - Accent6 2 2 5 2 2" xfId="11530"/>
    <cellStyle name="40% - Accent6 2 2 5 2 2 2" xfId="11531"/>
    <cellStyle name="40% - Accent6 2 2 5 2 2 2 2" xfId="11532"/>
    <cellStyle name="40% - Accent6 2 2 5 2 2 2 3" xfId="23606"/>
    <cellStyle name="40% - Accent6 2 2 5 2 2 3" xfId="11533"/>
    <cellStyle name="40% - Accent6 2 2 5 2 2 4" xfId="21023"/>
    <cellStyle name="40% - Accent6 2 2 5 2 3" xfId="11534"/>
    <cellStyle name="40% - Accent6 2 2 5 2 3 2" xfId="11535"/>
    <cellStyle name="40% - Accent6 2 2 5 2 3 3" xfId="22316"/>
    <cellStyle name="40% - Accent6 2 2 5 2 4" xfId="11536"/>
    <cellStyle name="40% - Accent6 2 2 5 2 5" xfId="19729"/>
    <cellStyle name="40% - Accent6 2 2 5 3" xfId="11537"/>
    <cellStyle name="40% - Accent6 2 2 5 3 2" xfId="11538"/>
    <cellStyle name="40% - Accent6 2 2 5 3 2 2" xfId="11539"/>
    <cellStyle name="40% - Accent6 2 2 5 3 2 3" xfId="22961"/>
    <cellStyle name="40% - Accent6 2 2 5 3 3" xfId="11540"/>
    <cellStyle name="40% - Accent6 2 2 5 3 4" xfId="20378"/>
    <cellStyle name="40% - Accent6 2 2 5 4" xfId="11541"/>
    <cellStyle name="40% - Accent6 2 2 5 4 2" xfId="11542"/>
    <cellStyle name="40% - Accent6 2 2 5 4 3" xfId="21671"/>
    <cellStyle name="40% - Accent6 2 2 5 5" xfId="11543"/>
    <cellStyle name="40% - Accent6 2 2 5 6" xfId="19081"/>
    <cellStyle name="40% - Accent6 2 2 6" xfId="11544"/>
    <cellStyle name="40% - Accent6 2 2 6 2" xfId="11545"/>
    <cellStyle name="40% - Accent6 2 2 6 2 2" xfId="11546"/>
    <cellStyle name="40% - Accent6 2 2 6 2 2 2" xfId="11547"/>
    <cellStyle name="40% - Accent6 2 2 6 2 2 3" xfId="23283"/>
    <cellStyle name="40% - Accent6 2 2 6 2 3" xfId="11548"/>
    <cellStyle name="40% - Accent6 2 2 6 2 4" xfId="20700"/>
    <cellStyle name="40% - Accent6 2 2 6 3" xfId="11549"/>
    <cellStyle name="40% - Accent6 2 2 6 3 2" xfId="11550"/>
    <cellStyle name="40% - Accent6 2 2 6 3 3" xfId="21993"/>
    <cellStyle name="40% - Accent6 2 2 6 4" xfId="11551"/>
    <cellStyle name="40% - Accent6 2 2 6 5" xfId="19407"/>
    <cellStyle name="40% - Accent6 2 2 7" xfId="11552"/>
    <cellStyle name="40% - Accent6 2 2 7 2" xfId="11553"/>
    <cellStyle name="40% - Accent6 2 2 7 2 2" xfId="11554"/>
    <cellStyle name="40% - Accent6 2 2 7 2 3" xfId="22638"/>
    <cellStyle name="40% - Accent6 2 2 7 3" xfId="11555"/>
    <cellStyle name="40% - Accent6 2 2 7 4" xfId="20055"/>
    <cellStyle name="40% - Accent6 2 2 8" xfId="11556"/>
    <cellStyle name="40% - Accent6 2 2 8 2" xfId="11557"/>
    <cellStyle name="40% - Accent6 2 2 8 3" xfId="21348"/>
    <cellStyle name="40% - Accent6 2 2 9" xfId="11558"/>
    <cellStyle name="40% - Accent6 2 3" xfId="11559"/>
    <cellStyle name="40% - Accent6 2 3 2" xfId="11560"/>
    <cellStyle name="40% - Accent6 2 3 2 2" xfId="11561"/>
    <cellStyle name="40% - Accent6 2 3 2 2 2" xfId="11562"/>
    <cellStyle name="40% - Accent6 2 3 2 2 2 2" xfId="11563"/>
    <cellStyle name="40% - Accent6 2 3 2 2 2 2 2" xfId="11564"/>
    <cellStyle name="40% - Accent6 2 3 2 2 2 2 2 2" xfId="11565"/>
    <cellStyle name="40% - Accent6 2 3 2 2 2 2 2 2 2" xfId="11566"/>
    <cellStyle name="40% - Accent6 2 3 2 2 2 2 2 2 3" xfId="23867"/>
    <cellStyle name="40% - Accent6 2 3 2 2 2 2 2 3" xfId="11567"/>
    <cellStyle name="40% - Accent6 2 3 2 2 2 2 2 4" xfId="21284"/>
    <cellStyle name="40% - Accent6 2 3 2 2 2 2 3" xfId="11568"/>
    <cellStyle name="40% - Accent6 2 3 2 2 2 2 3 2" xfId="11569"/>
    <cellStyle name="40% - Accent6 2 3 2 2 2 2 3 3" xfId="22577"/>
    <cellStyle name="40% - Accent6 2 3 2 2 2 2 4" xfId="11570"/>
    <cellStyle name="40% - Accent6 2 3 2 2 2 2 5" xfId="19990"/>
    <cellStyle name="40% - Accent6 2 3 2 2 2 3" xfId="11571"/>
    <cellStyle name="40% - Accent6 2 3 2 2 2 3 2" xfId="11572"/>
    <cellStyle name="40% - Accent6 2 3 2 2 2 3 2 2" xfId="11573"/>
    <cellStyle name="40% - Accent6 2 3 2 2 2 3 2 3" xfId="23222"/>
    <cellStyle name="40% - Accent6 2 3 2 2 2 3 3" xfId="11574"/>
    <cellStyle name="40% - Accent6 2 3 2 2 2 3 4" xfId="20639"/>
    <cellStyle name="40% - Accent6 2 3 2 2 2 4" xfId="11575"/>
    <cellStyle name="40% - Accent6 2 3 2 2 2 4 2" xfId="11576"/>
    <cellStyle name="40% - Accent6 2 3 2 2 2 4 3" xfId="21932"/>
    <cellStyle name="40% - Accent6 2 3 2 2 2 5" xfId="11577"/>
    <cellStyle name="40% - Accent6 2 3 2 2 2 6" xfId="19342"/>
    <cellStyle name="40% - Accent6 2 3 2 2 3" xfId="11578"/>
    <cellStyle name="40% - Accent6 2 3 2 2 3 2" xfId="11579"/>
    <cellStyle name="40% - Accent6 2 3 2 2 3 2 2" xfId="11580"/>
    <cellStyle name="40% - Accent6 2 3 2 2 3 2 2 2" xfId="11581"/>
    <cellStyle name="40% - Accent6 2 3 2 2 3 2 2 3" xfId="23545"/>
    <cellStyle name="40% - Accent6 2 3 2 2 3 2 3" xfId="11582"/>
    <cellStyle name="40% - Accent6 2 3 2 2 3 2 4" xfId="20962"/>
    <cellStyle name="40% - Accent6 2 3 2 2 3 3" xfId="11583"/>
    <cellStyle name="40% - Accent6 2 3 2 2 3 3 2" xfId="11584"/>
    <cellStyle name="40% - Accent6 2 3 2 2 3 3 3" xfId="22255"/>
    <cellStyle name="40% - Accent6 2 3 2 2 3 4" xfId="11585"/>
    <cellStyle name="40% - Accent6 2 3 2 2 3 5" xfId="19668"/>
    <cellStyle name="40% - Accent6 2 3 2 2 4" xfId="11586"/>
    <cellStyle name="40% - Accent6 2 3 2 2 4 2" xfId="11587"/>
    <cellStyle name="40% - Accent6 2 3 2 2 4 2 2" xfId="11588"/>
    <cellStyle name="40% - Accent6 2 3 2 2 4 2 3" xfId="22900"/>
    <cellStyle name="40% - Accent6 2 3 2 2 4 3" xfId="11589"/>
    <cellStyle name="40% - Accent6 2 3 2 2 4 4" xfId="20317"/>
    <cellStyle name="40% - Accent6 2 3 2 2 5" xfId="11590"/>
    <cellStyle name="40% - Accent6 2 3 2 2 5 2" xfId="11591"/>
    <cellStyle name="40% - Accent6 2 3 2 2 5 3" xfId="21610"/>
    <cellStyle name="40% - Accent6 2 3 2 2 6" xfId="11592"/>
    <cellStyle name="40% - Accent6 2 3 2 2 7" xfId="19016"/>
    <cellStyle name="40% - Accent6 2 3 2 3" xfId="11593"/>
    <cellStyle name="40% - Accent6 2 3 2 3 2" xfId="11594"/>
    <cellStyle name="40% - Accent6 2 3 2 3 2 2" xfId="11595"/>
    <cellStyle name="40% - Accent6 2 3 2 3 2 2 2" xfId="11596"/>
    <cellStyle name="40% - Accent6 2 3 2 3 2 2 2 2" xfId="11597"/>
    <cellStyle name="40% - Accent6 2 3 2 3 2 2 2 3" xfId="23706"/>
    <cellStyle name="40% - Accent6 2 3 2 3 2 2 3" xfId="11598"/>
    <cellStyle name="40% - Accent6 2 3 2 3 2 2 4" xfId="21123"/>
    <cellStyle name="40% - Accent6 2 3 2 3 2 3" xfId="11599"/>
    <cellStyle name="40% - Accent6 2 3 2 3 2 3 2" xfId="11600"/>
    <cellStyle name="40% - Accent6 2 3 2 3 2 3 3" xfId="22416"/>
    <cellStyle name="40% - Accent6 2 3 2 3 2 4" xfId="11601"/>
    <cellStyle name="40% - Accent6 2 3 2 3 2 5" xfId="19829"/>
    <cellStyle name="40% - Accent6 2 3 2 3 3" xfId="11602"/>
    <cellStyle name="40% - Accent6 2 3 2 3 3 2" xfId="11603"/>
    <cellStyle name="40% - Accent6 2 3 2 3 3 2 2" xfId="11604"/>
    <cellStyle name="40% - Accent6 2 3 2 3 3 2 3" xfId="23061"/>
    <cellStyle name="40% - Accent6 2 3 2 3 3 3" xfId="11605"/>
    <cellStyle name="40% - Accent6 2 3 2 3 3 4" xfId="20478"/>
    <cellStyle name="40% - Accent6 2 3 2 3 4" xfId="11606"/>
    <cellStyle name="40% - Accent6 2 3 2 3 4 2" xfId="11607"/>
    <cellStyle name="40% - Accent6 2 3 2 3 4 3" xfId="21771"/>
    <cellStyle name="40% - Accent6 2 3 2 3 5" xfId="11608"/>
    <cellStyle name="40% - Accent6 2 3 2 3 6" xfId="19181"/>
    <cellStyle name="40% - Accent6 2 3 2 4" xfId="11609"/>
    <cellStyle name="40% - Accent6 2 3 2 4 2" xfId="11610"/>
    <cellStyle name="40% - Accent6 2 3 2 4 2 2" xfId="11611"/>
    <cellStyle name="40% - Accent6 2 3 2 4 2 2 2" xfId="11612"/>
    <cellStyle name="40% - Accent6 2 3 2 4 2 2 3" xfId="23384"/>
    <cellStyle name="40% - Accent6 2 3 2 4 2 3" xfId="11613"/>
    <cellStyle name="40% - Accent6 2 3 2 4 2 4" xfId="20801"/>
    <cellStyle name="40% - Accent6 2 3 2 4 3" xfId="11614"/>
    <cellStyle name="40% - Accent6 2 3 2 4 3 2" xfId="11615"/>
    <cellStyle name="40% - Accent6 2 3 2 4 3 3" xfId="22094"/>
    <cellStyle name="40% - Accent6 2 3 2 4 4" xfId="11616"/>
    <cellStyle name="40% - Accent6 2 3 2 4 5" xfId="19507"/>
    <cellStyle name="40% - Accent6 2 3 2 5" xfId="11617"/>
    <cellStyle name="40% - Accent6 2 3 2 5 2" xfId="11618"/>
    <cellStyle name="40% - Accent6 2 3 2 5 2 2" xfId="11619"/>
    <cellStyle name="40% - Accent6 2 3 2 5 2 3" xfId="22739"/>
    <cellStyle name="40% - Accent6 2 3 2 5 3" xfId="11620"/>
    <cellStyle name="40% - Accent6 2 3 2 5 4" xfId="20156"/>
    <cellStyle name="40% - Accent6 2 3 2 6" xfId="11621"/>
    <cellStyle name="40% - Accent6 2 3 2 6 2" xfId="11622"/>
    <cellStyle name="40% - Accent6 2 3 2 6 3" xfId="21449"/>
    <cellStyle name="40% - Accent6 2 3 2 7" xfId="11623"/>
    <cellStyle name="40% - Accent6 2 3 2 8" xfId="18851"/>
    <cellStyle name="40% - Accent6 2 3 3" xfId="11624"/>
    <cellStyle name="40% - Accent6 2 3 3 2" xfId="11625"/>
    <cellStyle name="40% - Accent6 2 3 3 2 2" xfId="11626"/>
    <cellStyle name="40% - Accent6 2 3 3 2 2 2" xfId="11627"/>
    <cellStyle name="40% - Accent6 2 3 3 2 2 2 2" xfId="11628"/>
    <cellStyle name="40% - Accent6 2 3 3 2 2 2 2 2" xfId="11629"/>
    <cellStyle name="40% - Accent6 2 3 3 2 2 2 2 3" xfId="23787"/>
    <cellStyle name="40% - Accent6 2 3 3 2 2 2 3" xfId="11630"/>
    <cellStyle name="40% - Accent6 2 3 3 2 2 2 4" xfId="21204"/>
    <cellStyle name="40% - Accent6 2 3 3 2 2 3" xfId="11631"/>
    <cellStyle name="40% - Accent6 2 3 3 2 2 3 2" xfId="11632"/>
    <cellStyle name="40% - Accent6 2 3 3 2 2 3 3" xfId="22497"/>
    <cellStyle name="40% - Accent6 2 3 3 2 2 4" xfId="11633"/>
    <cellStyle name="40% - Accent6 2 3 3 2 2 5" xfId="19910"/>
    <cellStyle name="40% - Accent6 2 3 3 2 3" xfId="11634"/>
    <cellStyle name="40% - Accent6 2 3 3 2 3 2" xfId="11635"/>
    <cellStyle name="40% - Accent6 2 3 3 2 3 2 2" xfId="11636"/>
    <cellStyle name="40% - Accent6 2 3 3 2 3 2 3" xfId="23142"/>
    <cellStyle name="40% - Accent6 2 3 3 2 3 3" xfId="11637"/>
    <cellStyle name="40% - Accent6 2 3 3 2 3 4" xfId="20559"/>
    <cellStyle name="40% - Accent6 2 3 3 2 4" xfId="11638"/>
    <cellStyle name="40% - Accent6 2 3 3 2 4 2" xfId="11639"/>
    <cellStyle name="40% - Accent6 2 3 3 2 4 3" xfId="21852"/>
    <cellStyle name="40% - Accent6 2 3 3 2 5" xfId="11640"/>
    <cellStyle name="40% - Accent6 2 3 3 2 6" xfId="19262"/>
    <cellStyle name="40% - Accent6 2 3 3 3" xfId="11641"/>
    <cellStyle name="40% - Accent6 2 3 3 3 2" xfId="11642"/>
    <cellStyle name="40% - Accent6 2 3 3 3 2 2" xfId="11643"/>
    <cellStyle name="40% - Accent6 2 3 3 3 2 2 2" xfId="11644"/>
    <cellStyle name="40% - Accent6 2 3 3 3 2 2 3" xfId="23465"/>
    <cellStyle name="40% - Accent6 2 3 3 3 2 3" xfId="11645"/>
    <cellStyle name="40% - Accent6 2 3 3 3 2 4" xfId="20882"/>
    <cellStyle name="40% - Accent6 2 3 3 3 3" xfId="11646"/>
    <cellStyle name="40% - Accent6 2 3 3 3 3 2" xfId="11647"/>
    <cellStyle name="40% - Accent6 2 3 3 3 3 3" xfId="22175"/>
    <cellStyle name="40% - Accent6 2 3 3 3 4" xfId="11648"/>
    <cellStyle name="40% - Accent6 2 3 3 3 5" xfId="19588"/>
    <cellStyle name="40% - Accent6 2 3 3 4" xfId="11649"/>
    <cellStyle name="40% - Accent6 2 3 3 4 2" xfId="11650"/>
    <cellStyle name="40% - Accent6 2 3 3 4 2 2" xfId="11651"/>
    <cellStyle name="40% - Accent6 2 3 3 4 2 3" xfId="22820"/>
    <cellStyle name="40% - Accent6 2 3 3 4 3" xfId="11652"/>
    <cellStyle name="40% - Accent6 2 3 3 4 4" xfId="20237"/>
    <cellStyle name="40% - Accent6 2 3 3 5" xfId="11653"/>
    <cellStyle name="40% - Accent6 2 3 3 5 2" xfId="11654"/>
    <cellStyle name="40% - Accent6 2 3 3 5 3" xfId="21530"/>
    <cellStyle name="40% - Accent6 2 3 3 6" xfId="11655"/>
    <cellStyle name="40% - Accent6 2 3 3 7" xfId="18936"/>
    <cellStyle name="40% - Accent6 2 3 4" xfId="11656"/>
    <cellStyle name="40% - Accent6 2 3 4 2" xfId="11657"/>
    <cellStyle name="40% - Accent6 2 3 4 2 2" xfId="11658"/>
    <cellStyle name="40% - Accent6 2 3 4 2 2 2" xfId="11659"/>
    <cellStyle name="40% - Accent6 2 3 4 2 2 2 2" xfId="11660"/>
    <cellStyle name="40% - Accent6 2 3 4 2 2 2 3" xfId="23626"/>
    <cellStyle name="40% - Accent6 2 3 4 2 2 3" xfId="11661"/>
    <cellStyle name="40% - Accent6 2 3 4 2 2 4" xfId="21043"/>
    <cellStyle name="40% - Accent6 2 3 4 2 3" xfId="11662"/>
    <cellStyle name="40% - Accent6 2 3 4 2 3 2" xfId="11663"/>
    <cellStyle name="40% - Accent6 2 3 4 2 3 3" xfId="22336"/>
    <cellStyle name="40% - Accent6 2 3 4 2 4" xfId="11664"/>
    <cellStyle name="40% - Accent6 2 3 4 2 5" xfId="19749"/>
    <cellStyle name="40% - Accent6 2 3 4 3" xfId="11665"/>
    <cellStyle name="40% - Accent6 2 3 4 3 2" xfId="11666"/>
    <cellStyle name="40% - Accent6 2 3 4 3 2 2" xfId="11667"/>
    <cellStyle name="40% - Accent6 2 3 4 3 2 3" xfId="22981"/>
    <cellStyle name="40% - Accent6 2 3 4 3 3" xfId="11668"/>
    <cellStyle name="40% - Accent6 2 3 4 3 4" xfId="20398"/>
    <cellStyle name="40% - Accent6 2 3 4 4" xfId="11669"/>
    <cellStyle name="40% - Accent6 2 3 4 4 2" xfId="11670"/>
    <cellStyle name="40% - Accent6 2 3 4 4 3" xfId="21691"/>
    <cellStyle name="40% - Accent6 2 3 4 5" xfId="11671"/>
    <cellStyle name="40% - Accent6 2 3 4 6" xfId="19101"/>
    <cellStyle name="40% - Accent6 2 3 5" xfId="11672"/>
    <cellStyle name="40% - Accent6 2 3 5 2" xfId="11673"/>
    <cellStyle name="40% - Accent6 2 3 5 2 2" xfId="11674"/>
    <cellStyle name="40% - Accent6 2 3 5 2 2 2" xfId="11675"/>
    <cellStyle name="40% - Accent6 2 3 5 2 2 3" xfId="23303"/>
    <cellStyle name="40% - Accent6 2 3 5 2 3" xfId="11676"/>
    <cellStyle name="40% - Accent6 2 3 5 2 4" xfId="20720"/>
    <cellStyle name="40% - Accent6 2 3 5 3" xfId="11677"/>
    <cellStyle name="40% - Accent6 2 3 5 3 2" xfId="11678"/>
    <cellStyle name="40% - Accent6 2 3 5 3 3" xfId="22013"/>
    <cellStyle name="40% - Accent6 2 3 5 4" xfId="11679"/>
    <cellStyle name="40% - Accent6 2 3 5 5" xfId="19427"/>
    <cellStyle name="40% - Accent6 2 3 6" xfId="11680"/>
    <cellStyle name="40% - Accent6 2 3 6 2" xfId="11681"/>
    <cellStyle name="40% - Accent6 2 3 6 2 2" xfId="11682"/>
    <cellStyle name="40% - Accent6 2 3 6 2 3" xfId="22658"/>
    <cellStyle name="40% - Accent6 2 3 6 3" xfId="11683"/>
    <cellStyle name="40% - Accent6 2 3 6 4" xfId="20075"/>
    <cellStyle name="40% - Accent6 2 3 7" xfId="11684"/>
    <cellStyle name="40% - Accent6 2 3 7 2" xfId="11685"/>
    <cellStyle name="40% - Accent6 2 3 7 3" xfId="21368"/>
    <cellStyle name="40% - Accent6 2 3 8" xfId="11686"/>
    <cellStyle name="40% - Accent6 2 3 9" xfId="18754"/>
    <cellStyle name="40% - Accent6 2 4" xfId="11687"/>
    <cellStyle name="40% - Accent6 2 4 2" xfId="11688"/>
    <cellStyle name="40% - Accent6 2 4 2 2" xfId="11689"/>
    <cellStyle name="40% - Accent6 2 4 2 2 2" xfId="11690"/>
    <cellStyle name="40% - Accent6 2 4 2 2 2 2" xfId="11691"/>
    <cellStyle name="40% - Accent6 2 4 2 2 2 2 2" xfId="11692"/>
    <cellStyle name="40% - Accent6 2 4 2 2 2 2 2 2" xfId="11693"/>
    <cellStyle name="40% - Accent6 2 4 2 2 2 2 2 3" xfId="23827"/>
    <cellStyle name="40% - Accent6 2 4 2 2 2 2 3" xfId="11694"/>
    <cellStyle name="40% - Accent6 2 4 2 2 2 2 4" xfId="21244"/>
    <cellStyle name="40% - Accent6 2 4 2 2 2 3" xfId="11695"/>
    <cellStyle name="40% - Accent6 2 4 2 2 2 3 2" xfId="11696"/>
    <cellStyle name="40% - Accent6 2 4 2 2 2 3 3" xfId="22537"/>
    <cellStyle name="40% - Accent6 2 4 2 2 2 4" xfId="11697"/>
    <cellStyle name="40% - Accent6 2 4 2 2 2 5" xfId="19950"/>
    <cellStyle name="40% - Accent6 2 4 2 2 3" xfId="11698"/>
    <cellStyle name="40% - Accent6 2 4 2 2 3 2" xfId="11699"/>
    <cellStyle name="40% - Accent6 2 4 2 2 3 2 2" xfId="11700"/>
    <cellStyle name="40% - Accent6 2 4 2 2 3 2 3" xfId="23182"/>
    <cellStyle name="40% - Accent6 2 4 2 2 3 3" xfId="11701"/>
    <cellStyle name="40% - Accent6 2 4 2 2 3 4" xfId="20599"/>
    <cellStyle name="40% - Accent6 2 4 2 2 4" xfId="11702"/>
    <cellStyle name="40% - Accent6 2 4 2 2 4 2" xfId="11703"/>
    <cellStyle name="40% - Accent6 2 4 2 2 4 3" xfId="21892"/>
    <cellStyle name="40% - Accent6 2 4 2 2 5" xfId="11704"/>
    <cellStyle name="40% - Accent6 2 4 2 2 6" xfId="19302"/>
    <cellStyle name="40% - Accent6 2 4 2 3" xfId="11705"/>
    <cellStyle name="40% - Accent6 2 4 2 3 2" xfId="11706"/>
    <cellStyle name="40% - Accent6 2 4 2 3 2 2" xfId="11707"/>
    <cellStyle name="40% - Accent6 2 4 2 3 2 2 2" xfId="11708"/>
    <cellStyle name="40% - Accent6 2 4 2 3 2 2 3" xfId="23505"/>
    <cellStyle name="40% - Accent6 2 4 2 3 2 3" xfId="11709"/>
    <cellStyle name="40% - Accent6 2 4 2 3 2 4" xfId="20922"/>
    <cellStyle name="40% - Accent6 2 4 2 3 3" xfId="11710"/>
    <cellStyle name="40% - Accent6 2 4 2 3 3 2" xfId="11711"/>
    <cellStyle name="40% - Accent6 2 4 2 3 3 3" xfId="22215"/>
    <cellStyle name="40% - Accent6 2 4 2 3 4" xfId="11712"/>
    <cellStyle name="40% - Accent6 2 4 2 3 5" xfId="19628"/>
    <cellStyle name="40% - Accent6 2 4 2 4" xfId="11713"/>
    <cellStyle name="40% - Accent6 2 4 2 4 2" xfId="11714"/>
    <cellStyle name="40% - Accent6 2 4 2 4 2 2" xfId="11715"/>
    <cellStyle name="40% - Accent6 2 4 2 4 2 3" xfId="22860"/>
    <cellStyle name="40% - Accent6 2 4 2 4 3" xfId="11716"/>
    <cellStyle name="40% - Accent6 2 4 2 4 4" xfId="20277"/>
    <cellStyle name="40% - Accent6 2 4 2 5" xfId="11717"/>
    <cellStyle name="40% - Accent6 2 4 2 5 2" xfId="11718"/>
    <cellStyle name="40% - Accent6 2 4 2 5 3" xfId="21570"/>
    <cellStyle name="40% - Accent6 2 4 2 6" xfId="11719"/>
    <cellStyle name="40% - Accent6 2 4 2 7" xfId="18976"/>
    <cellStyle name="40% - Accent6 2 4 3" xfId="11720"/>
    <cellStyle name="40% - Accent6 2 4 3 2" xfId="11721"/>
    <cellStyle name="40% - Accent6 2 4 3 2 2" xfId="11722"/>
    <cellStyle name="40% - Accent6 2 4 3 2 2 2" xfId="11723"/>
    <cellStyle name="40% - Accent6 2 4 3 2 2 2 2" xfId="11724"/>
    <cellStyle name="40% - Accent6 2 4 3 2 2 2 3" xfId="23666"/>
    <cellStyle name="40% - Accent6 2 4 3 2 2 3" xfId="11725"/>
    <cellStyle name="40% - Accent6 2 4 3 2 2 4" xfId="21083"/>
    <cellStyle name="40% - Accent6 2 4 3 2 3" xfId="11726"/>
    <cellStyle name="40% - Accent6 2 4 3 2 3 2" xfId="11727"/>
    <cellStyle name="40% - Accent6 2 4 3 2 3 3" xfId="22376"/>
    <cellStyle name="40% - Accent6 2 4 3 2 4" xfId="11728"/>
    <cellStyle name="40% - Accent6 2 4 3 2 5" xfId="19789"/>
    <cellStyle name="40% - Accent6 2 4 3 3" xfId="11729"/>
    <cellStyle name="40% - Accent6 2 4 3 3 2" xfId="11730"/>
    <cellStyle name="40% - Accent6 2 4 3 3 2 2" xfId="11731"/>
    <cellStyle name="40% - Accent6 2 4 3 3 2 3" xfId="23021"/>
    <cellStyle name="40% - Accent6 2 4 3 3 3" xfId="11732"/>
    <cellStyle name="40% - Accent6 2 4 3 3 4" xfId="20438"/>
    <cellStyle name="40% - Accent6 2 4 3 4" xfId="11733"/>
    <cellStyle name="40% - Accent6 2 4 3 4 2" xfId="11734"/>
    <cellStyle name="40% - Accent6 2 4 3 4 3" xfId="21731"/>
    <cellStyle name="40% - Accent6 2 4 3 5" xfId="11735"/>
    <cellStyle name="40% - Accent6 2 4 3 6" xfId="19141"/>
    <cellStyle name="40% - Accent6 2 4 4" xfId="11736"/>
    <cellStyle name="40% - Accent6 2 4 4 2" xfId="11737"/>
    <cellStyle name="40% - Accent6 2 4 4 2 2" xfId="11738"/>
    <cellStyle name="40% - Accent6 2 4 4 2 2 2" xfId="11739"/>
    <cellStyle name="40% - Accent6 2 4 4 2 2 3" xfId="23344"/>
    <cellStyle name="40% - Accent6 2 4 4 2 3" xfId="11740"/>
    <cellStyle name="40% - Accent6 2 4 4 2 4" xfId="20761"/>
    <cellStyle name="40% - Accent6 2 4 4 3" xfId="11741"/>
    <cellStyle name="40% - Accent6 2 4 4 3 2" xfId="11742"/>
    <cellStyle name="40% - Accent6 2 4 4 3 3" xfId="22054"/>
    <cellStyle name="40% - Accent6 2 4 4 4" xfId="11743"/>
    <cellStyle name="40% - Accent6 2 4 4 5" xfId="19467"/>
    <cellStyle name="40% - Accent6 2 4 5" xfId="11744"/>
    <cellStyle name="40% - Accent6 2 4 5 2" xfId="11745"/>
    <cellStyle name="40% - Accent6 2 4 5 2 2" xfId="11746"/>
    <cellStyle name="40% - Accent6 2 4 5 2 3" xfId="22699"/>
    <cellStyle name="40% - Accent6 2 4 5 3" xfId="11747"/>
    <cellStyle name="40% - Accent6 2 4 5 4" xfId="20116"/>
    <cellStyle name="40% - Accent6 2 4 6" xfId="11748"/>
    <cellStyle name="40% - Accent6 2 4 6 2" xfId="11749"/>
    <cellStyle name="40% - Accent6 2 4 6 3" xfId="21409"/>
    <cellStyle name="40% - Accent6 2 4 7" xfId="11750"/>
    <cellStyle name="40% - Accent6 2 4 8" xfId="18808"/>
    <cellStyle name="40% - Accent6 2 5" xfId="11751"/>
    <cellStyle name="40% - Accent6 2 5 2" xfId="11752"/>
    <cellStyle name="40% - Accent6 2 5 2 2" xfId="11753"/>
    <cellStyle name="40% - Accent6 2 5 2 2 2" xfId="11754"/>
    <cellStyle name="40% - Accent6 2 5 2 2 2 2" xfId="11755"/>
    <cellStyle name="40% - Accent6 2 5 2 2 2 2 2" xfId="11756"/>
    <cellStyle name="40% - Accent6 2 5 2 2 2 2 3" xfId="23747"/>
    <cellStyle name="40% - Accent6 2 5 2 2 2 3" xfId="11757"/>
    <cellStyle name="40% - Accent6 2 5 2 2 2 4" xfId="21164"/>
    <cellStyle name="40% - Accent6 2 5 2 2 3" xfId="11758"/>
    <cellStyle name="40% - Accent6 2 5 2 2 3 2" xfId="11759"/>
    <cellStyle name="40% - Accent6 2 5 2 2 3 3" xfId="22457"/>
    <cellStyle name="40% - Accent6 2 5 2 2 4" xfId="11760"/>
    <cellStyle name="40% - Accent6 2 5 2 2 5" xfId="19870"/>
    <cellStyle name="40% - Accent6 2 5 2 3" xfId="11761"/>
    <cellStyle name="40% - Accent6 2 5 2 3 2" xfId="11762"/>
    <cellStyle name="40% - Accent6 2 5 2 3 2 2" xfId="11763"/>
    <cellStyle name="40% - Accent6 2 5 2 3 2 3" xfId="23102"/>
    <cellStyle name="40% - Accent6 2 5 2 3 3" xfId="11764"/>
    <cellStyle name="40% - Accent6 2 5 2 3 4" xfId="20519"/>
    <cellStyle name="40% - Accent6 2 5 2 4" xfId="11765"/>
    <cellStyle name="40% - Accent6 2 5 2 4 2" xfId="11766"/>
    <cellStyle name="40% - Accent6 2 5 2 4 3" xfId="21812"/>
    <cellStyle name="40% - Accent6 2 5 2 5" xfId="11767"/>
    <cellStyle name="40% - Accent6 2 5 2 6" xfId="19222"/>
    <cellStyle name="40% - Accent6 2 5 3" xfId="11768"/>
    <cellStyle name="40% - Accent6 2 5 3 2" xfId="11769"/>
    <cellStyle name="40% - Accent6 2 5 3 2 2" xfId="11770"/>
    <cellStyle name="40% - Accent6 2 5 3 2 2 2" xfId="11771"/>
    <cellStyle name="40% - Accent6 2 5 3 2 2 3" xfId="23425"/>
    <cellStyle name="40% - Accent6 2 5 3 2 3" xfId="11772"/>
    <cellStyle name="40% - Accent6 2 5 3 2 4" xfId="20842"/>
    <cellStyle name="40% - Accent6 2 5 3 3" xfId="11773"/>
    <cellStyle name="40% - Accent6 2 5 3 3 2" xfId="11774"/>
    <cellStyle name="40% - Accent6 2 5 3 3 3" xfId="22135"/>
    <cellStyle name="40% - Accent6 2 5 3 4" xfId="11775"/>
    <cellStyle name="40% - Accent6 2 5 3 5" xfId="19548"/>
    <cellStyle name="40% - Accent6 2 5 4" xfId="11776"/>
    <cellStyle name="40% - Accent6 2 5 4 2" xfId="11777"/>
    <cellStyle name="40% - Accent6 2 5 4 2 2" xfId="11778"/>
    <cellStyle name="40% - Accent6 2 5 4 2 3" xfId="22780"/>
    <cellStyle name="40% - Accent6 2 5 4 3" xfId="11779"/>
    <cellStyle name="40% - Accent6 2 5 4 4" xfId="20197"/>
    <cellStyle name="40% - Accent6 2 5 5" xfId="11780"/>
    <cellStyle name="40% - Accent6 2 5 5 2" xfId="11781"/>
    <cellStyle name="40% - Accent6 2 5 5 3" xfId="21490"/>
    <cellStyle name="40% - Accent6 2 5 6" xfId="11782"/>
    <cellStyle name="40% - Accent6 2 5 7" xfId="18896"/>
    <cellStyle name="40% - Accent6 2 6" xfId="11783"/>
    <cellStyle name="40% - Accent6 2 6 2" xfId="11784"/>
    <cellStyle name="40% - Accent6 2 6 2 2" xfId="11785"/>
    <cellStyle name="40% - Accent6 2 6 2 2 2" xfId="11786"/>
    <cellStyle name="40% - Accent6 2 6 2 2 2 2" xfId="11787"/>
    <cellStyle name="40% - Accent6 2 6 2 2 2 3" xfId="23586"/>
    <cellStyle name="40% - Accent6 2 6 2 2 3" xfId="11788"/>
    <cellStyle name="40% - Accent6 2 6 2 2 4" xfId="21003"/>
    <cellStyle name="40% - Accent6 2 6 2 3" xfId="11789"/>
    <cellStyle name="40% - Accent6 2 6 2 3 2" xfId="11790"/>
    <cellStyle name="40% - Accent6 2 6 2 3 3" xfId="22296"/>
    <cellStyle name="40% - Accent6 2 6 2 4" xfId="11791"/>
    <cellStyle name="40% - Accent6 2 6 2 5" xfId="19709"/>
    <cellStyle name="40% - Accent6 2 6 3" xfId="11792"/>
    <cellStyle name="40% - Accent6 2 6 3 2" xfId="11793"/>
    <cellStyle name="40% - Accent6 2 6 3 2 2" xfId="11794"/>
    <cellStyle name="40% - Accent6 2 6 3 2 3" xfId="22941"/>
    <cellStyle name="40% - Accent6 2 6 3 3" xfId="11795"/>
    <cellStyle name="40% - Accent6 2 6 3 4" xfId="20358"/>
    <cellStyle name="40% - Accent6 2 6 4" xfId="11796"/>
    <cellStyle name="40% - Accent6 2 6 4 2" xfId="11797"/>
    <cellStyle name="40% - Accent6 2 6 4 3" xfId="21651"/>
    <cellStyle name="40% - Accent6 2 6 5" xfId="11798"/>
    <cellStyle name="40% - Accent6 2 6 6" xfId="19061"/>
    <cellStyle name="40% - Accent6 2 7" xfId="11799"/>
    <cellStyle name="40% - Accent6 2 7 2" xfId="11800"/>
    <cellStyle name="40% - Accent6 2 7 2 2" xfId="11801"/>
    <cellStyle name="40% - Accent6 2 7 2 2 2" xfId="11802"/>
    <cellStyle name="40% - Accent6 2 7 2 2 3" xfId="23263"/>
    <cellStyle name="40% - Accent6 2 7 2 3" xfId="11803"/>
    <cellStyle name="40% - Accent6 2 7 2 4" xfId="20680"/>
    <cellStyle name="40% - Accent6 2 7 3" xfId="11804"/>
    <cellStyle name="40% - Accent6 2 7 3 2" xfId="11805"/>
    <cellStyle name="40% - Accent6 2 7 3 3" xfId="21973"/>
    <cellStyle name="40% - Accent6 2 7 4" xfId="11806"/>
    <cellStyle name="40% - Accent6 2 7 5" xfId="19387"/>
    <cellStyle name="40% - Accent6 2 8" xfId="11807"/>
    <cellStyle name="40% - Accent6 2 8 2" xfId="11808"/>
    <cellStyle name="40% - Accent6 2 8 2 2" xfId="11809"/>
    <cellStyle name="40% - Accent6 2 8 2 3" xfId="22618"/>
    <cellStyle name="40% - Accent6 2 8 3" xfId="11810"/>
    <cellStyle name="40% - Accent6 2 8 4" xfId="20035"/>
    <cellStyle name="40% - Accent6 2 9" xfId="11811"/>
    <cellStyle name="40% - Accent6 2 9 2" xfId="11812"/>
    <cellStyle name="40% - Accent6 2 9 3" xfId="21328"/>
    <cellStyle name="40% - Accent6 3" xfId="11813"/>
    <cellStyle name="40% - Accent6 3 10" xfId="18716"/>
    <cellStyle name="40% - Accent6 3 2" xfId="11814"/>
    <cellStyle name="40% - Accent6 3 2 2" xfId="11815"/>
    <cellStyle name="40% - Accent6 3 2 2 2" xfId="11816"/>
    <cellStyle name="40% - Accent6 3 2 2 2 2" xfId="11817"/>
    <cellStyle name="40% - Accent6 3 2 2 2 2 2" xfId="11818"/>
    <cellStyle name="40% - Accent6 3 2 2 2 2 2 2" xfId="11819"/>
    <cellStyle name="40% - Accent6 3 2 2 2 2 2 2 2" xfId="11820"/>
    <cellStyle name="40% - Accent6 3 2 2 2 2 2 2 2 2" xfId="11821"/>
    <cellStyle name="40% - Accent6 3 2 2 2 2 2 2 2 3" xfId="23877"/>
    <cellStyle name="40% - Accent6 3 2 2 2 2 2 2 3" xfId="11822"/>
    <cellStyle name="40% - Accent6 3 2 2 2 2 2 2 4" xfId="21294"/>
    <cellStyle name="40% - Accent6 3 2 2 2 2 2 3" xfId="11823"/>
    <cellStyle name="40% - Accent6 3 2 2 2 2 2 3 2" xfId="11824"/>
    <cellStyle name="40% - Accent6 3 2 2 2 2 2 3 3" xfId="22587"/>
    <cellStyle name="40% - Accent6 3 2 2 2 2 2 4" xfId="11825"/>
    <cellStyle name="40% - Accent6 3 2 2 2 2 2 5" xfId="20000"/>
    <cellStyle name="40% - Accent6 3 2 2 2 2 3" xfId="11826"/>
    <cellStyle name="40% - Accent6 3 2 2 2 2 3 2" xfId="11827"/>
    <cellStyle name="40% - Accent6 3 2 2 2 2 3 2 2" xfId="11828"/>
    <cellStyle name="40% - Accent6 3 2 2 2 2 3 2 3" xfId="23232"/>
    <cellStyle name="40% - Accent6 3 2 2 2 2 3 3" xfId="11829"/>
    <cellStyle name="40% - Accent6 3 2 2 2 2 3 4" xfId="20649"/>
    <cellStyle name="40% - Accent6 3 2 2 2 2 4" xfId="11830"/>
    <cellStyle name="40% - Accent6 3 2 2 2 2 4 2" xfId="11831"/>
    <cellStyle name="40% - Accent6 3 2 2 2 2 4 3" xfId="21942"/>
    <cellStyle name="40% - Accent6 3 2 2 2 2 5" xfId="11832"/>
    <cellStyle name="40% - Accent6 3 2 2 2 2 6" xfId="19352"/>
    <cellStyle name="40% - Accent6 3 2 2 2 3" xfId="11833"/>
    <cellStyle name="40% - Accent6 3 2 2 2 3 2" xfId="11834"/>
    <cellStyle name="40% - Accent6 3 2 2 2 3 2 2" xfId="11835"/>
    <cellStyle name="40% - Accent6 3 2 2 2 3 2 2 2" xfId="11836"/>
    <cellStyle name="40% - Accent6 3 2 2 2 3 2 2 3" xfId="23555"/>
    <cellStyle name="40% - Accent6 3 2 2 2 3 2 3" xfId="11837"/>
    <cellStyle name="40% - Accent6 3 2 2 2 3 2 4" xfId="20972"/>
    <cellStyle name="40% - Accent6 3 2 2 2 3 3" xfId="11838"/>
    <cellStyle name="40% - Accent6 3 2 2 2 3 3 2" xfId="11839"/>
    <cellStyle name="40% - Accent6 3 2 2 2 3 3 3" xfId="22265"/>
    <cellStyle name="40% - Accent6 3 2 2 2 3 4" xfId="11840"/>
    <cellStyle name="40% - Accent6 3 2 2 2 3 5" xfId="19678"/>
    <cellStyle name="40% - Accent6 3 2 2 2 4" xfId="11841"/>
    <cellStyle name="40% - Accent6 3 2 2 2 4 2" xfId="11842"/>
    <cellStyle name="40% - Accent6 3 2 2 2 4 2 2" xfId="11843"/>
    <cellStyle name="40% - Accent6 3 2 2 2 4 2 3" xfId="22910"/>
    <cellStyle name="40% - Accent6 3 2 2 2 4 3" xfId="11844"/>
    <cellStyle name="40% - Accent6 3 2 2 2 4 4" xfId="20327"/>
    <cellStyle name="40% - Accent6 3 2 2 2 5" xfId="11845"/>
    <cellStyle name="40% - Accent6 3 2 2 2 5 2" xfId="11846"/>
    <cellStyle name="40% - Accent6 3 2 2 2 5 3" xfId="21620"/>
    <cellStyle name="40% - Accent6 3 2 2 2 6" xfId="11847"/>
    <cellStyle name="40% - Accent6 3 2 2 2 7" xfId="19026"/>
    <cellStyle name="40% - Accent6 3 2 2 3" xfId="11848"/>
    <cellStyle name="40% - Accent6 3 2 2 3 2" xfId="11849"/>
    <cellStyle name="40% - Accent6 3 2 2 3 2 2" xfId="11850"/>
    <cellStyle name="40% - Accent6 3 2 2 3 2 2 2" xfId="11851"/>
    <cellStyle name="40% - Accent6 3 2 2 3 2 2 2 2" xfId="11852"/>
    <cellStyle name="40% - Accent6 3 2 2 3 2 2 2 3" xfId="23716"/>
    <cellStyle name="40% - Accent6 3 2 2 3 2 2 3" xfId="11853"/>
    <cellStyle name="40% - Accent6 3 2 2 3 2 2 4" xfId="21133"/>
    <cellStyle name="40% - Accent6 3 2 2 3 2 3" xfId="11854"/>
    <cellStyle name="40% - Accent6 3 2 2 3 2 3 2" xfId="11855"/>
    <cellStyle name="40% - Accent6 3 2 2 3 2 3 3" xfId="22426"/>
    <cellStyle name="40% - Accent6 3 2 2 3 2 4" xfId="11856"/>
    <cellStyle name="40% - Accent6 3 2 2 3 2 5" xfId="19839"/>
    <cellStyle name="40% - Accent6 3 2 2 3 3" xfId="11857"/>
    <cellStyle name="40% - Accent6 3 2 2 3 3 2" xfId="11858"/>
    <cellStyle name="40% - Accent6 3 2 2 3 3 2 2" xfId="11859"/>
    <cellStyle name="40% - Accent6 3 2 2 3 3 2 3" xfId="23071"/>
    <cellStyle name="40% - Accent6 3 2 2 3 3 3" xfId="11860"/>
    <cellStyle name="40% - Accent6 3 2 2 3 3 4" xfId="20488"/>
    <cellStyle name="40% - Accent6 3 2 2 3 4" xfId="11861"/>
    <cellStyle name="40% - Accent6 3 2 2 3 4 2" xfId="11862"/>
    <cellStyle name="40% - Accent6 3 2 2 3 4 3" xfId="21781"/>
    <cellStyle name="40% - Accent6 3 2 2 3 5" xfId="11863"/>
    <cellStyle name="40% - Accent6 3 2 2 3 6" xfId="19191"/>
    <cellStyle name="40% - Accent6 3 2 2 4" xfId="11864"/>
    <cellStyle name="40% - Accent6 3 2 2 4 2" xfId="11865"/>
    <cellStyle name="40% - Accent6 3 2 2 4 2 2" xfId="11866"/>
    <cellStyle name="40% - Accent6 3 2 2 4 2 2 2" xfId="11867"/>
    <cellStyle name="40% - Accent6 3 2 2 4 2 2 3" xfId="23394"/>
    <cellStyle name="40% - Accent6 3 2 2 4 2 3" xfId="11868"/>
    <cellStyle name="40% - Accent6 3 2 2 4 2 4" xfId="20811"/>
    <cellStyle name="40% - Accent6 3 2 2 4 3" xfId="11869"/>
    <cellStyle name="40% - Accent6 3 2 2 4 3 2" xfId="11870"/>
    <cellStyle name="40% - Accent6 3 2 2 4 3 3" xfId="22104"/>
    <cellStyle name="40% - Accent6 3 2 2 4 4" xfId="11871"/>
    <cellStyle name="40% - Accent6 3 2 2 4 5" xfId="19517"/>
    <cellStyle name="40% - Accent6 3 2 2 5" xfId="11872"/>
    <cellStyle name="40% - Accent6 3 2 2 5 2" xfId="11873"/>
    <cellStyle name="40% - Accent6 3 2 2 5 2 2" xfId="11874"/>
    <cellStyle name="40% - Accent6 3 2 2 5 2 3" xfId="22749"/>
    <cellStyle name="40% - Accent6 3 2 2 5 3" xfId="11875"/>
    <cellStyle name="40% - Accent6 3 2 2 5 4" xfId="20166"/>
    <cellStyle name="40% - Accent6 3 2 2 6" xfId="11876"/>
    <cellStyle name="40% - Accent6 3 2 2 6 2" xfId="11877"/>
    <cellStyle name="40% - Accent6 3 2 2 6 3" xfId="21459"/>
    <cellStyle name="40% - Accent6 3 2 2 7" xfId="11878"/>
    <cellStyle name="40% - Accent6 3 2 2 8" xfId="18861"/>
    <cellStyle name="40% - Accent6 3 2 3" xfId="11879"/>
    <cellStyle name="40% - Accent6 3 2 3 2" xfId="11880"/>
    <cellStyle name="40% - Accent6 3 2 3 2 2" xfId="11881"/>
    <cellStyle name="40% - Accent6 3 2 3 2 2 2" xfId="11882"/>
    <cellStyle name="40% - Accent6 3 2 3 2 2 2 2" xfId="11883"/>
    <cellStyle name="40% - Accent6 3 2 3 2 2 2 2 2" xfId="11884"/>
    <cellStyle name="40% - Accent6 3 2 3 2 2 2 2 3" xfId="23797"/>
    <cellStyle name="40% - Accent6 3 2 3 2 2 2 3" xfId="11885"/>
    <cellStyle name="40% - Accent6 3 2 3 2 2 2 4" xfId="21214"/>
    <cellStyle name="40% - Accent6 3 2 3 2 2 3" xfId="11886"/>
    <cellStyle name="40% - Accent6 3 2 3 2 2 3 2" xfId="11887"/>
    <cellStyle name="40% - Accent6 3 2 3 2 2 3 3" xfId="22507"/>
    <cellStyle name="40% - Accent6 3 2 3 2 2 4" xfId="11888"/>
    <cellStyle name="40% - Accent6 3 2 3 2 2 5" xfId="19920"/>
    <cellStyle name="40% - Accent6 3 2 3 2 3" xfId="11889"/>
    <cellStyle name="40% - Accent6 3 2 3 2 3 2" xfId="11890"/>
    <cellStyle name="40% - Accent6 3 2 3 2 3 2 2" xfId="11891"/>
    <cellStyle name="40% - Accent6 3 2 3 2 3 2 3" xfId="23152"/>
    <cellStyle name="40% - Accent6 3 2 3 2 3 3" xfId="11892"/>
    <cellStyle name="40% - Accent6 3 2 3 2 3 4" xfId="20569"/>
    <cellStyle name="40% - Accent6 3 2 3 2 4" xfId="11893"/>
    <cellStyle name="40% - Accent6 3 2 3 2 4 2" xfId="11894"/>
    <cellStyle name="40% - Accent6 3 2 3 2 4 3" xfId="21862"/>
    <cellStyle name="40% - Accent6 3 2 3 2 5" xfId="11895"/>
    <cellStyle name="40% - Accent6 3 2 3 2 6" xfId="19272"/>
    <cellStyle name="40% - Accent6 3 2 3 3" xfId="11896"/>
    <cellStyle name="40% - Accent6 3 2 3 3 2" xfId="11897"/>
    <cellStyle name="40% - Accent6 3 2 3 3 2 2" xfId="11898"/>
    <cellStyle name="40% - Accent6 3 2 3 3 2 2 2" xfId="11899"/>
    <cellStyle name="40% - Accent6 3 2 3 3 2 2 3" xfId="23475"/>
    <cellStyle name="40% - Accent6 3 2 3 3 2 3" xfId="11900"/>
    <cellStyle name="40% - Accent6 3 2 3 3 2 4" xfId="20892"/>
    <cellStyle name="40% - Accent6 3 2 3 3 3" xfId="11901"/>
    <cellStyle name="40% - Accent6 3 2 3 3 3 2" xfId="11902"/>
    <cellStyle name="40% - Accent6 3 2 3 3 3 3" xfId="22185"/>
    <cellStyle name="40% - Accent6 3 2 3 3 4" xfId="11903"/>
    <cellStyle name="40% - Accent6 3 2 3 3 5" xfId="19598"/>
    <cellStyle name="40% - Accent6 3 2 3 4" xfId="11904"/>
    <cellStyle name="40% - Accent6 3 2 3 4 2" xfId="11905"/>
    <cellStyle name="40% - Accent6 3 2 3 4 2 2" xfId="11906"/>
    <cellStyle name="40% - Accent6 3 2 3 4 2 3" xfId="22830"/>
    <cellStyle name="40% - Accent6 3 2 3 4 3" xfId="11907"/>
    <cellStyle name="40% - Accent6 3 2 3 4 4" xfId="20247"/>
    <cellStyle name="40% - Accent6 3 2 3 5" xfId="11908"/>
    <cellStyle name="40% - Accent6 3 2 3 5 2" xfId="11909"/>
    <cellStyle name="40% - Accent6 3 2 3 5 3" xfId="21540"/>
    <cellStyle name="40% - Accent6 3 2 3 6" xfId="11910"/>
    <cellStyle name="40% - Accent6 3 2 3 7" xfId="18946"/>
    <cellStyle name="40% - Accent6 3 2 4" xfId="11911"/>
    <cellStyle name="40% - Accent6 3 2 4 2" xfId="11912"/>
    <cellStyle name="40% - Accent6 3 2 4 2 2" xfId="11913"/>
    <cellStyle name="40% - Accent6 3 2 4 2 2 2" xfId="11914"/>
    <cellStyle name="40% - Accent6 3 2 4 2 2 2 2" xfId="11915"/>
    <cellStyle name="40% - Accent6 3 2 4 2 2 2 3" xfId="23636"/>
    <cellStyle name="40% - Accent6 3 2 4 2 2 3" xfId="11916"/>
    <cellStyle name="40% - Accent6 3 2 4 2 2 4" xfId="21053"/>
    <cellStyle name="40% - Accent6 3 2 4 2 3" xfId="11917"/>
    <cellStyle name="40% - Accent6 3 2 4 2 3 2" xfId="11918"/>
    <cellStyle name="40% - Accent6 3 2 4 2 3 3" xfId="22346"/>
    <cellStyle name="40% - Accent6 3 2 4 2 4" xfId="11919"/>
    <cellStyle name="40% - Accent6 3 2 4 2 5" xfId="19759"/>
    <cellStyle name="40% - Accent6 3 2 4 3" xfId="11920"/>
    <cellStyle name="40% - Accent6 3 2 4 3 2" xfId="11921"/>
    <cellStyle name="40% - Accent6 3 2 4 3 2 2" xfId="11922"/>
    <cellStyle name="40% - Accent6 3 2 4 3 2 3" xfId="22991"/>
    <cellStyle name="40% - Accent6 3 2 4 3 3" xfId="11923"/>
    <cellStyle name="40% - Accent6 3 2 4 3 4" xfId="20408"/>
    <cellStyle name="40% - Accent6 3 2 4 4" xfId="11924"/>
    <cellStyle name="40% - Accent6 3 2 4 4 2" xfId="11925"/>
    <cellStyle name="40% - Accent6 3 2 4 4 3" xfId="21701"/>
    <cellStyle name="40% - Accent6 3 2 4 5" xfId="11926"/>
    <cellStyle name="40% - Accent6 3 2 4 6" xfId="19111"/>
    <cellStyle name="40% - Accent6 3 2 5" xfId="11927"/>
    <cellStyle name="40% - Accent6 3 2 5 2" xfId="11928"/>
    <cellStyle name="40% - Accent6 3 2 5 2 2" xfId="11929"/>
    <cellStyle name="40% - Accent6 3 2 5 2 2 2" xfId="11930"/>
    <cellStyle name="40% - Accent6 3 2 5 2 2 3" xfId="23313"/>
    <cellStyle name="40% - Accent6 3 2 5 2 3" xfId="11931"/>
    <cellStyle name="40% - Accent6 3 2 5 2 4" xfId="20730"/>
    <cellStyle name="40% - Accent6 3 2 5 3" xfId="11932"/>
    <cellStyle name="40% - Accent6 3 2 5 3 2" xfId="11933"/>
    <cellStyle name="40% - Accent6 3 2 5 3 3" xfId="22023"/>
    <cellStyle name="40% - Accent6 3 2 5 4" xfId="11934"/>
    <cellStyle name="40% - Accent6 3 2 5 5" xfId="19437"/>
    <cellStyle name="40% - Accent6 3 2 6" xfId="11935"/>
    <cellStyle name="40% - Accent6 3 2 6 2" xfId="11936"/>
    <cellStyle name="40% - Accent6 3 2 6 2 2" xfId="11937"/>
    <cellStyle name="40% - Accent6 3 2 6 2 3" xfId="22668"/>
    <cellStyle name="40% - Accent6 3 2 6 3" xfId="11938"/>
    <cellStyle name="40% - Accent6 3 2 6 4" xfId="20085"/>
    <cellStyle name="40% - Accent6 3 2 7" xfId="11939"/>
    <cellStyle name="40% - Accent6 3 2 7 2" xfId="11940"/>
    <cellStyle name="40% - Accent6 3 2 7 3" xfId="21378"/>
    <cellStyle name="40% - Accent6 3 2 8" xfId="11941"/>
    <cellStyle name="40% - Accent6 3 2 9" xfId="18764"/>
    <cellStyle name="40% - Accent6 3 3" xfId="11942"/>
    <cellStyle name="40% - Accent6 3 3 2" xfId="11943"/>
    <cellStyle name="40% - Accent6 3 3 2 2" xfId="11944"/>
    <cellStyle name="40% - Accent6 3 3 2 2 2" xfId="11945"/>
    <cellStyle name="40% - Accent6 3 3 2 2 2 2" xfId="11946"/>
    <cellStyle name="40% - Accent6 3 3 2 2 2 2 2" xfId="11947"/>
    <cellStyle name="40% - Accent6 3 3 2 2 2 2 2 2" xfId="11948"/>
    <cellStyle name="40% - Accent6 3 3 2 2 2 2 2 3" xfId="23837"/>
    <cellStyle name="40% - Accent6 3 3 2 2 2 2 3" xfId="11949"/>
    <cellStyle name="40% - Accent6 3 3 2 2 2 2 4" xfId="21254"/>
    <cellStyle name="40% - Accent6 3 3 2 2 2 3" xfId="11950"/>
    <cellStyle name="40% - Accent6 3 3 2 2 2 3 2" xfId="11951"/>
    <cellStyle name="40% - Accent6 3 3 2 2 2 3 3" xfId="22547"/>
    <cellStyle name="40% - Accent6 3 3 2 2 2 4" xfId="11952"/>
    <cellStyle name="40% - Accent6 3 3 2 2 2 5" xfId="19960"/>
    <cellStyle name="40% - Accent6 3 3 2 2 3" xfId="11953"/>
    <cellStyle name="40% - Accent6 3 3 2 2 3 2" xfId="11954"/>
    <cellStyle name="40% - Accent6 3 3 2 2 3 2 2" xfId="11955"/>
    <cellStyle name="40% - Accent6 3 3 2 2 3 2 3" xfId="23192"/>
    <cellStyle name="40% - Accent6 3 3 2 2 3 3" xfId="11956"/>
    <cellStyle name="40% - Accent6 3 3 2 2 3 4" xfId="20609"/>
    <cellStyle name="40% - Accent6 3 3 2 2 4" xfId="11957"/>
    <cellStyle name="40% - Accent6 3 3 2 2 4 2" xfId="11958"/>
    <cellStyle name="40% - Accent6 3 3 2 2 4 3" xfId="21902"/>
    <cellStyle name="40% - Accent6 3 3 2 2 5" xfId="11959"/>
    <cellStyle name="40% - Accent6 3 3 2 2 6" xfId="19312"/>
    <cellStyle name="40% - Accent6 3 3 2 3" xfId="11960"/>
    <cellStyle name="40% - Accent6 3 3 2 3 2" xfId="11961"/>
    <cellStyle name="40% - Accent6 3 3 2 3 2 2" xfId="11962"/>
    <cellStyle name="40% - Accent6 3 3 2 3 2 2 2" xfId="11963"/>
    <cellStyle name="40% - Accent6 3 3 2 3 2 2 3" xfId="23515"/>
    <cellStyle name="40% - Accent6 3 3 2 3 2 3" xfId="11964"/>
    <cellStyle name="40% - Accent6 3 3 2 3 2 4" xfId="20932"/>
    <cellStyle name="40% - Accent6 3 3 2 3 3" xfId="11965"/>
    <cellStyle name="40% - Accent6 3 3 2 3 3 2" xfId="11966"/>
    <cellStyle name="40% - Accent6 3 3 2 3 3 3" xfId="22225"/>
    <cellStyle name="40% - Accent6 3 3 2 3 4" xfId="11967"/>
    <cellStyle name="40% - Accent6 3 3 2 3 5" xfId="19638"/>
    <cellStyle name="40% - Accent6 3 3 2 4" xfId="11968"/>
    <cellStyle name="40% - Accent6 3 3 2 4 2" xfId="11969"/>
    <cellStyle name="40% - Accent6 3 3 2 4 2 2" xfId="11970"/>
    <cellStyle name="40% - Accent6 3 3 2 4 2 3" xfId="22870"/>
    <cellStyle name="40% - Accent6 3 3 2 4 3" xfId="11971"/>
    <cellStyle name="40% - Accent6 3 3 2 4 4" xfId="20287"/>
    <cellStyle name="40% - Accent6 3 3 2 5" xfId="11972"/>
    <cellStyle name="40% - Accent6 3 3 2 5 2" xfId="11973"/>
    <cellStyle name="40% - Accent6 3 3 2 5 3" xfId="21580"/>
    <cellStyle name="40% - Accent6 3 3 2 6" xfId="11974"/>
    <cellStyle name="40% - Accent6 3 3 2 7" xfId="18986"/>
    <cellStyle name="40% - Accent6 3 3 3" xfId="11975"/>
    <cellStyle name="40% - Accent6 3 3 3 2" xfId="11976"/>
    <cellStyle name="40% - Accent6 3 3 3 2 2" xfId="11977"/>
    <cellStyle name="40% - Accent6 3 3 3 2 2 2" xfId="11978"/>
    <cellStyle name="40% - Accent6 3 3 3 2 2 2 2" xfId="11979"/>
    <cellStyle name="40% - Accent6 3 3 3 2 2 2 3" xfId="23676"/>
    <cellStyle name="40% - Accent6 3 3 3 2 2 3" xfId="11980"/>
    <cellStyle name="40% - Accent6 3 3 3 2 2 4" xfId="21093"/>
    <cellStyle name="40% - Accent6 3 3 3 2 3" xfId="11981"/>
    <cellStyle name="40% - Accent6 3 3 3 2 3 2" xfId="11982"/>
    <cellStyle name="40% - Accent6 3 3 3 2 3 3" xfId="22386"/>
    <cellStyle name="40% - Accent6 3 3 3 2 4" xfId="11983"/>
    <cellStyle name="40% - Accent6 3 3 3 2 5" xfId="19799"/>
    <cellStyle name="40% - Accent6 3 3 3 3" xfId="11984"/>
    <cellStyle name="40% - Accent6 3 3 3 3 2" xfId="11985"/>
    <cellStyle name="40% - Accent6 3 3 3 3 2 2" xfId="11986"/>
    <cellStyle name="40% - Accent6 3 3 3 3 2 3" xfId="23031"/>
    <cellStyle name="40% - Accent6 3 3 3 3 3" xfId="11987"/>
    <cellStyle name="40% - Accent6 3 3 3 3 4" xfId="20448"/>
    <cellStyle name="40% - Accent6 3 3 3 4" xfId="11988"/>
    <cellStyle name="40% - Accent6 3 3 3 4 2" xfId="11989"/>
    <cellStyle name="40% - Accent6 3 3 3 4 3" xfId="21741"/>
    <cellStyle name="40% - Accent6 3 3 3 5" xfId="11990"/>
    <cellStyle name="40% - Accent6 3 3 3 6" xfId="19151"/>
    <cellStyle name="40% - Accent6 3 3 4" xfId="11991"/>
    <cellStyle name="40% - Accent6 3 3 4 2" xfId="11992"/>
    <cellStyle name="40% - Accent6 3 3 4 2 2" xfId="11993"/>
    <cellStyle name="40% - Accent6 3 3 4 2 2 2" xfId="11994"/>
    <cellStyle name="40% - Accent6 3 3 4 2 2 3" xfId="23354"/>
    <cellStyle name="40% - Accent6 3 3 4 2 3" xfId="11995"/>
    <cellStyle name="40% - Accent6 3 3 4 2 4" xfId="20771"/>
    <cellStyle name="40% - Accent6 3 3 4 3" xfId="11996"/>
    <cellStyle name="40% - Accent6 3 3 4 3 2" xfId="11997"/>
    <cellStyle name="40% - Accent6 3 3 4 3 3" xfId="22064"/>
    <cellStyle name="40% - Accent6 3 3 4 4" xfId="11998"/>
    <cellStyle name="40% - Accent6 3 3 4 5" xfId="19477"/>
    <cellStyle name="40% - Accent6 3 3 5" xfId="11999"/>
    <cellStyle name="40% - Accent6 3 3 5 2" xfId="12000"/>
    <cellStyle name="40% - Accent6 3 3 5 2 2" xfId="12001"/>
    <cellStyle name="40% - Accent6 3 3 5 2 3" xfId="22709"/>
    <cellStyle name="40% - Accent6 3 3 5 3" xfId="12002"/>
    <cellStyle name="40% - Accent6 3 3 5 4" xfId="20126"/>
    <cellStyle name="40% - Accent6 3 3 6" xfId="12003"/>
    <cellStyle name="40% - Accent6 3 3 6 2" xfId="12004"/>
    <cellStyle name="40% - Accent6 3 3 6 3" xfId="21419"/>
    <cellStyle name="40% - Accent6 3 3 7" xfId="12005"/>
    <cellStyle name="40% - Accent6 3 3 8" xfId="18819"/>
    <cellStyle name="40% - Accent6 3 4" xfId="12006"/>
    <cellStyle name="40% - Accent6 3 4 2" xfId="12007"/>
    <cellStyle name="40% - Accent6 3 4 2 2" xfId="12008"/>
    <cellStyle name="40% - Accent6 3 4 2 2 2" xfId="12009"/>
    <cellStyle name="40% - Accent6 3 4 2 2 2 2" xfId="12010"/>
    <cellStyle name="40% - Accent6 3 4 2 2 2 2 2" xfId="12011"/>
    <cellStyle name="40% - Accent6 3 4 2 2 2 2 3" xfId="23757"/>
    <cellStyle name="40% - Accent6 3 4 2 2 2 3" xfId="12012"/>
    <cellStyle name="40% - Accent6 3 4 2 2 2 4" xfId="21174"/>
    <cellStyle name="40% - Accent6 3 4 2 2 3" xfId="12013"/>
    <cellStyle name="40% - Accent6 3 4 2 2 3 2" xfId="12014"/>
    <cellStyle name="40% - Accent6 3 4 2 2 3 3" xfId="22467"/>
    <cellStyle name="40% - Accent6 3 4 2 2 4" xfId="12015"/>
    <cellStyle name="40% - Accent6 3 4 2 2 5" xfId="19880"/>
    <cellStyle name="40% - Accent6 3 4 2 3" xfId="12016"/>
    <cellStyle name="40% - Accent6 3 4 2 3 2" xfId="12017"/>
    <cellStyle name="40% - Accent6 3 4 2 3 2 2" xfId="12018"/>
    <cellStyle name="40% - Accent6 3 4 2 3 2 3" xfId="23112"/>
    <cellStyle name="40% - Accent6 3 4 2 3 3" xfId="12019"/>
    <cellStyle name="40% - Accent6 3 4 2 3 4" xfId="20529"/>
    <cellStyle name="40% - Accent6 3 4 2 4" xfId="12020"/>
    <cellStyle name="40% - Accent6 3 4 2 4 2" xfId="12021"/>
    <cellStyle name="40% - Accent6 3 4 2 4 3" xfId="21822"/>
    <cellStyle name="40% - Accent6 3 4 2 5" xfId="12022"/>
    <cellStyle name="40% - Accent6 3 4 2 6" xfId="19232"/>
    <cellStyle name="40% - Accent6 3 4 3" xfId="12023"/>
    <cellStyle name="40% - Accent6 3 4 3 2" xfId="12024"/>
    <cellStyle name="40% - Accent6 3 4 3 2 2" xfId="12025"/>
    <cellStyle name="40% - Accent6 3 4 3 2 2 2" xfId="12026"/>
    <cellStyle name="40% - Accent6 3 4 3 2 2 3" xfId="23435"/>
    <cellStyle name="40% - Accent6 3 4 3 2 3" xfId="12027"/>
    <cellStyle name="40% - Accent6 3 4 3 2 4" xfId="20852"/>
    <cellStyle name="40% - Accent6 3 4 3 3" xfId="12028"/>
    <cellStyle name="40% - Accent6 3 4 3 3 2" xfId="12029"/>
    <cellStyle name="40% - Accent6 3 4 3 3 3" xfId="22145"/>
    <cellStyle name="40% - Accent6 3 4 3 4" xfId="12030"/>
    <cellStyle name="40% - Accent6 3 4 3 5" xfId="19558"/>
    <cellStyle name="40% - Accent6 3 4 4" xfId="12031"/>
    <cellStyle name="40% - Accent6 3 4 4 2" xfId="12032"/>
    <cellStyle name="40% - Accent6 3 4 4 2 2" xfId="12033"/>
    <cellStyle name="40% - Accent6 3 4 4 2 3" xfId="22790"/>
    <cellStyle name="40% - Accent6 3 4 4 3" xfId="12034"/>
    <cellStyle name="40% - Accent6 3 4 4 4" xfId="20207"/>
    <cellStyle name="40% - Accent6 3 4 5" xfId="12035"/>
    <cellStyle name="40% - Accent6 3 4 5 2" xfId="12036"/>
    <cellStyle name="40% - Accent6 3 4 5 3" xfId="21500"/>
    <cellStyle name="40% - Accent6 3 4 6" xfId="12037"/>
    <cellStyle name="40% - Accent6 3 4 7" xfId="18906"/>
    <cellStyle name="40% - Accent6 3 5" xfId="12038"/>
    <cellStyle name="40% - Accent6 3 5 2" xfId="12039"/>
    <cellStyle name="40% - Accent6 3 5 2 2" xfId="12040"/>
    <cellStyle name="40% - Accent6 3 5 2 2 2" xfId="12041"/>
    <cellStyle name="40% - Accent6 3 5 2 2 2 2" xfId="12042"/>
    <cellStyle name="40% - Accent6 3 5 2 2 2 3" xfId="23596"/>
    <cellStyle name="40% - Accent6 3 5 2 2 3" xfId="12043"/>
    <cellStyle name="40% - Accent6 3 5 2 2 4" xfId="21013"/>
    <cellStyle name="40% - Accent6 3 5 2 3" xfId="12044"/>
    <cellStyle name="40% - Accent6 3 5 2 3 2" xfId="12045"/>
    <cellStyle name="40% - Accent6 3 5 2 3 3" xfId="22306"/>
    <cellStyle name="40% - Accent6 3 5 2 4" xfId="12046"/>
    <cellStyle name="40% - Accent6 3 5 2 5" xfId="19719"/>
    <cellStyle name="40% - Accent6 3 5 3" xfId="12047"/>
    <cellStyle name="40% - Accent6 3 5 3 2" xfId="12048"/>
    <cellStyle name="40% - Accent6 3 5 3 2 2" xfId="12049"/>
    <cellStyle name="40% - Accent6 3 5 3 2 3" xfId="22951"/>
    <cellStyle name="40% - Accent6 3 5 3 3" xfId="12050"/>
    <cellStyle name="40% - Accent6 3 5 3 4" xfId="20368"/>
    <cellStyle name="40% - Accent6 3 5 4" xfId="12051"/>
    <cellStyle name="40% - Accent6 3 5 4 2" xfId="12052"/>
    <cellStyle name="40% - Accent6 3 5 4 3" xfId="21661"/>
    <cellStyle name="40% - Accent6 3 5 5" xfId="12053"/>
    <cellStyle name="40% - Accent6 3 5 6" xfId="19071"/>
    <cellStyle name="40% - Accent6 3 6" xfId="12054"/>
    <cellStyle name="40% - Accent6 3 6 2" xfId="12055"/>
    <cellStyle name="40% - Accent6 3 6 2 2" xfId="12056"/>
    <cellStyle name="40% - Accent6 3 6 2 2 2" xfId="12057"/>
    <cellStyle name="40% - Accent6 3 6 2 2 3" xfId="23273"/>
    <cellStyle name="40% - Accent6 3 6 2 3" xfId="12058"/>
    <cellStyle name="40% - Accent6 3 6 2 4" xfId="20690"/>
    <cellStyle name="40% - Accent6 3 6 3" xfId="12059"/>
    <cellStyle name="40% - Accent6 3 6 3 2" xfId="12060"/>
    <cellStyle name="40% - Accent6 3 6 3 3" xfId="21983"/>
    <cellStyle name="40% - Accent6 3 6 4" xfId="12061"/>
    <cellStyle name="40% - Accent6 3 6 5" xfId="19397"/>
    <cellStyle name="40% - Accent6 3 7" xfId="12062"/>
    <cellStyle name="40% - Accent6 3 7 2" xfId="12063"/>
    <cellStyle name="40% - Accent6 3 7 2 2" xfId="12064"/>
    <cellStyle name="40% - Accent6 3 7 2 3" xfId="22628"/>
    <cellStyle name="40% - Accent6 3 7 3" xfId="12065"/>
    <cellStyle name="40% - Accent6 3 7 4" xfId="20045"/>
    <cellStyle name="40% - Accent6 3 8" xfId="12066"/>
    <cellStyle name="40% - Accent6 3 8 2" xfId="12067"/>
    <cellStyle name="40% - Accent6 3 8 3" xfId="21338"/>
    <cellStyle name="40% - Accent6 3 9" xfId="12068"/>
    <cellStyle name="40% - Accent6 4" xfId="12069"/>
    <cellStyle name="40% - Accent6 4 2" xfId="12070"/>
    <cellStyle name="40% - Accent6 4 2 2" xfId="12071"/>
    <cellStyle name="40% - Accent6 4 2 2 2" xfId="12072"/>
    <cellStyle name="40% - Accent6 4 2 2 2 2" xfId="12073"/>
    <cellStyle name="40% - Accent6 4 2 2 2 2 2" xfId="12074"/>
    <cellStyle name="40% - Accent6 4 2 2 2 2 2 2" xfId="12075"/>
    <cellStyle name="40% - Accent6 4 2 2 2 2 2 2 2" xfId="12076"/>
    <cellStyle name="40% - Accent6 4 2 2 2 2 2 2 3" xfId="23857"/>
    <cellStyle name="40% - Accent6 4 2 2 2 2 2 3" xfId="12077"/>
    <cellStyle name="40% - Accent6 4 2 2 2 2 2 4" xfId="21274"/>
    <cellStyle name="40% - Accent6 4 2 2 2 2 3" xfId="12078"/>
    <cellStyle name="40% - Accent6 4 2 2 2 2 3 2" xfId="12079"/>
    <cellStyle name="40% - Accent6 4 2 2 2 2 3 3" xfId="22567"/>
    <cellStyle name="40% - Accent6 4 2 2 2 2 4" xfId="12080"/>
    <cellStyle name="40% - Accent6 4 2 2 2 2 5" xfId="19980"/>
    <cellStyle name="40% - Accent6 4 2 2 2 3" xfId="12081"/>
    <cellStyle name="40% - Accent6 4 2 2 2 3 2" xfId="12082"/>
    <cellStyle name="40% - Accent6 4 2 2 2 3 2 2" xfId="12083"/>
    <cellStyle name="40% - Accent6 4 2 2 2 3 2 3" xfId="23212"/>
    <cellStyle name="40% - Accent6 4 2 2 2 3 3" xfId="12084"/>
    <cellStyle name="40% - Accent6 4 2 2 2 3 4" xfId="20629"/>
    <cellStyle name="40% - Accent6 4 2 2 2 4" xfId="12085"/>
    <cellStyle name="40% - Accent6 4 2 2 2 4 2" xfId="12086"/>
    <cellStyle name="40% - Accent6 4 2 2 2 4 3" xfId="21922"/>
    <cellStyle name="40% - Accent6 4 2 2 2 5" xfId="12087"/>
    <cellStyle name="40% - Accent6 4 2 2 2 6" xfId="19332"/>
    <cellStyle name="40% - Accent6 4 2 2 3" xfId="12088"/>
    <cellStyle name="40% - Accent6 4 2 2 3 2" xfId="12089"/>
    <cellStyle name="40% - Accent6 4 2 2 3 2 2" xfId="12090"/>
    <cellStyle name="40% - Accent6 4 2 2 3 2 2 2" xfId="12091"/>
    <cellStyle name="40% - Accent6 4 2 2 3 2 2 3" xfId="23535"/>
    <cellStyle name="40% - Accent6 4 2 2 3 2 3" xfId="12092"/>
    <cellStyle name="40% - Accent6 4 2 2 3 2 4" xfId="20952"/>
    <cellStyle name="40% - Accent6 4 2 2 3 3" xfId="12093"/>
    <cellStyle name="40% - Accent6 4 2 2 3 3 2" xfId="12094"/>
    <cellStyle name="40% - Accent6 4 2 2 3 3 3" xfId="22245"/>
    <cellStyle name="40% - Accent6 4 2 2 3 4" xfId="12095"/>
    <cellStyle name="40% - Accent6 4 2 2 3 5" xfId="19658"/>
    <cellStyle name="40% - Accent6 4 2 2 4" xfId="12096"/>
    <cellStyle name="40% - Accent6 4 2 2 4 2" xfId="12097"/>
    <cellStyle name="40% - Accent6 4 2 2 4 2 2" xfId="12098"/>
    <cellStyle name="40% - Accent6 4 2 2 4 2 3" xfId="22890"/>
    <cellStyle name="40% - Accent6 4 2 2 4 3" xfId="12099"/>
    <cellStyle name="40% - Accent6 4 2 2 4 4" xfId="20307"/>
    <cellStyle name="40% - Accent6 4 2 2 5" xfId="12100"/>
    <cellStyle name="40% - Accent6 4 2 2 5 2" xfId="12101"/>
    <cellStyle name="40% - Accent6 4 2 2 5 3" xfId="21600"/>
    <cellStyle name="40% - Accent6 4 2 2 6" xfId="12102"/>
    <cellStyle name="40% - Accent6 4 2 2 7" xfId="19006"/>
    <cellStyle name="40% - Accent6 4 2 3" xfId="12103"/>
    <cellStyle name="40% - Accent6 4 2 3 2" xfId="12104"/>
    <cellStyle name="40% - Accent6 4 2 3 2 2" xfId="12105"/>
    <cellStyle name="40% - Accent6 4 2 3 2 2 2" xfId="12106"/>
    <cellStyle name="40% - Accent6 4 2 3 2 2 2 2" xfId="12107"/>
    <cellStyle name="40% - Accent6 4 2 3 2 2 2 3" xfId="23696"/>
    <cellStyle name="40% - Accent6 4 2 3 2 2 3" xfId="12108"/>
    <cellStyle name="40% - Accent6 4 2 3 2 2 4" xfId="21113"/>
    <cellStyle name="40% - Accent6 4 2 3 2 3" xfId="12109"/>
    <cellStyle name="40% - Accent6 4 2 3 2 3 2" xfId="12110"/>
    <cellStyle name="40% - Accent6 4 2 3 2 3 3" xfId="22406"/>
    <cellStyle name="40% - Accent6 4 2 3 2 4" xfId="12111"/>
    <cellStyle name="40% - Accent6 4 2 3 2 5" xfId="19819"/>
    <cellStyle name="40% - Accent6 4 2 3 3" xfId="12112"/>
    <cellStyle name="40% - Accent6 4 2 3 3 2" xfId="12113"/>
    <cellStyle name="40% - Accent6 4 2 3 3 2 2" xfId="12114"/>
    <cellStyle name="40% - Accent6 4 2 3 3 2 3" xfId="23051"/>
    <cellStyle name="40% - Accent6 4 2 3 3 3" xfId="12115"/>
    <cellStyle name="40% - Accent6 4 2 3 3 4" xfId="20468"/>
    <cellStyle name="40% - Accent6 4 2 3 4" xfId="12116"/>
    <cellStyle name="40% - Accent6 4 2 3 4 2" xfId="12117"/>
    <cellStyle name="40% - Accent6 4 2 3 4 3" xfId="21761"/>
    <cellStyle name="40% - Accent6 4 2 3 5" xfId="12118"/>
    <cellStyle name="40% - Accent6 4 2 3 6" xfId="19171"/>
    <cellStyle name="40% - Accent6 4 2 4" xfId="12119"/>
    <cellStyle name="40% - Accent6 4 2 4 2" xfId="12120"/>
    <cellStyle name="40% - Accent6 4 2 4 2 2" xfId="12121"/>
    <cellStyle name="40% - Accent6 4 2 4 2 2 2" xfId="12122"/>
    <cellStyle name="40% - Accent6 4 2 4 2 2 3" xfId="23374"/>
    <cellStyle name="40% - Accent6 4 2 4 2 3" xfId="12123"/>
    <cellStyle name="40% - Accent6 4 2 4 2 4" xfId="20791"/>
    <cellStyle name="40% - Accent6 4 2 4 3" xfId="12124"/>
    <cellStyle name="40% - Accent6 4 2 4 3 2" xfId="12125"/>
    <cellStyle name="40% - Accent6 4 2 4 3 3" xfId="22084"/>
    <cellStyle name="40% - Accent6 4 2 4 4" xfId="12126"/>
    <cellStyle name="40% - Accent6 4 2 4 5" xfId="19497"/>
    <cellStyle name="40% - Accent6 4 2 5" xfId="12127"/>
    <cellStyle name="40% - Accent6 4 2 5 2" xfId="12128"/>
    <cellStyle name="40% - Accent6 4 2 5 2 2" xfId="12129"/>
    <cellStyle name="40% - Accent6 4 2 5 2 3" xfId="22729"/>
    <cellStyle name="40% - Accent6 4 2 5 3" xfId="12130"/>
    <cellStyle name="40% - Accent6 4 2 5 4" xfId="20146"/>
    <cellStyle name="40% - Accent6 4 2 6" xfId="12131"/>
    <cellStyle name="40% - Accent6 4 2 6 2" xfId="12132"/>
    <cellStyle name="40% - Accent6 4 2 6 3" xfId="21439"/>
    <cellStyle name="40% - Accent6 4 2 7" xfId="12133"/>
    <cellStyle name="40% - Accent6 4 2 8" xfId="18840"/>
    <cellStyle name="40% - Accent6 4 3" xfId="12134"/>
    <cellStyle name="40% - Accent6 4 3 2" xfId="12135"/>
    <cellStyle name="40% - Accent6 4 3 2 2" xfId="12136"/>
    <cellStyle name="40% - Accent6 4 3 2 2 2" xfId="12137"/>
    <cellStyle name="40% - Accent6 4 3 2 2 2 2" xfId="12138"/>
    <cellStyle name="40% - Accent6 4 3 2 2 2 2 2" xfId="12139"/>
    <cellStyle name="40% - Accent6 4 3 2 2 2 2 3" xfId="23777"/>
    <cellStyle name="40% - Accent6 4 3 2 2 2 3" xfId="12140"/>
    <cellStyle name="40% - Accent6 4 3 2 2 2 4" xfId="21194"/>
    <cellStyle name="40% - Accent6 4 3 2 2 3" xfId="12141"/>
    <cellStyle name="40% - Accent6 4 3 2 2 3 2" xfId="12142"/>
    <cellStyle name="40% - Accent6 4 3 2 2 3 3" xfId="22487"/>
    <cellStyle name="40% - Accent6 4 3 2 2 4" xfId="12143"/>
    <cellStyle name="40% - Accent6 4 3 2 2 5" xfId="19900"/>
    <cellStyle name="40% - Accent6 4 3 2 3" xfId="12144"/>
    <cellStyle name="40% - Accent6 4 3 2 3 2" xfId="12145"/>
    <cellStyle name="40% - Accent6 4 3 2 3 2 2" xfId="12146"/>
    <cellStyle name="40% - Accent6 4 3 2 3 2 3" xfId="23132"/>
    <cellStyle name="40% - Accent6 4 3 2 3 3" xfId="12147"/>
    <cellStyle name="40% - Accent6 4 3 2 3 4" xfId="20549"/>
    <cellStyle name="40% - Accent6 4 3 2 4" xfId="12148"/>
    <cellStyle name="40% - Accent6 4 3 2 4 2" xfId="12149"/>
    <cellStyle name="40% - Accent6 4 3 2 4 3" xfId="21842"/>
    <cellStyle name="40% - Accent6 4 3 2 5" xfId="12150"/>
    <cellStyle name="40% - Accent6 4 3 2 6" xfId="19252"/>
    <cellStyle name="40% - Accent6 4 3 3" xfId="12151"/>
    <cellStyle name="40% - Accent6 4 3 3 2" xfId="12152"/>
    <cellStyle name="40% - Accent6 4 3 3 2 2" xfId="12153"/>
    <cellStyle name="40% - Accent6 4 3 3 2 2 2" xfId="12154"/>
    <cellStyle name="40% - Accent6 4 3 3 2 2 3" xfId="23455"/>
    <cellStyle name="40% - Accent6 4 3 3 2 3" xfId="12155"/>
    <cellStyle name="40% - Accent6 4 3 3 2 4" xfId="20872"/>
    <cellStyle name="40% - Accent6 4 3 3 3" xfId="12156"/>
    <cellStyle name="40% - Accent6 4 3 3 3 2" xfId="12157"/>
    <cellStyle name="40% - Accent6 4 3 3 3 3" xfId="22165"/>
    <cellStyle name="40% - Accent6 4 3 3 4" xfId="12158"/>
    <cellStyle name="40% - Accent6 4 3 3 5" xfId="19578"/>
    <cellStyle name="40% - Accent6 4 3 4" xfId="12159"/>
    <cellStyle name="40% - Accent6 4 3 4 2" xfId="12160"/>
    <cellStyle name="40% - Accent6 4 3 4 2 2" xfId="12161"/>
    <cellStyle name="40% - Accent6 4 3 4 2 3" xfId="22810"/>
    <cellStyle name="40% - Accent6 4 3 4 3" xfId="12162"/>
    <cellStyle name="40% - Accent6 4 3 4 4" xfId="20227"/>
    <cellStyle name="40% - Accent6 4 3 5" xfId="12163"/>
    <cellStyle name="40% - Accent6 4 3 5 2" xfId="12164"/>
    <cellStyle name="40% - Accent6 4 3 5 3" xfId="21520"/>
    <cellStyle name="40% - Accent6 4 3 6" xfId="12165"/>
    <cellStyle name="40% - Accent6 4 3 7" xfId="18926"/>
    <cellStyle name="40% - Accent6 4 4" xfId="12166"/>
    <cellStyle name="40% - Accent6 4 4 2" xfId="12167"/>
    <cellStyle name="40% - Accent6 4 4 2 2" xfId="12168"/>
    <cellStyle name="40% - Accent6 4 4 2 2 2" xfId="12169"/>
    <cellStyle name="40% - Accent6 4 4 2 2 2 2" xfId="12170"/>
    <cellStyle name="40% - Accent6 4 4 2 2 2 3" xfId="23616"/>
    <cellStyle name="40% - Accent6 4 4 2 2 3" xfId="12171"/>
    <cellStyle name="40% - Accent6 4 4 2 2 4" xfId="21033"/>
    <cellStyle name="40% - Accent6 4 4 2 3" xfId="12172"/>
    <cellStyle name="40% - Accent6 4 4 2 3 2" xfId="12173"/>
    <cellStyle name="40% - Accent6 4 4 2 3 3" xfId="22326"/>
    <cellStyle name="40% - Accent6 4 4 2 4" xfId="12174"/>
    <cellStyle name="40% - Accent6 4 4 2 5" xfId="19739"/>
    <cellStyle name="40% - Accent6 4 4 3" xfId="12175"/>
    <cellStyle name="40% - Accent6 4 4 3 2" xfId="12176"/>
    <cellStyle name="40% - Accent6 4 4 3 2 2" xfId="12177"/>
    <cellStyle name="40% - Accent6 4 4 3 2 3" xfId="22971"/>
    <cellStyle name="40% - Accent6 4 4 3 3" xfId="12178"/>
    <cellStyle name="40% - Accent6 4 4 3 4" xfId="20388"/>
    <cellStyle name="40% - Accent6 4 4 4" xfId="12179"/>
    <cellStyle name="40% - Accent6 4 4 4 2" xfId="12180"/>
    <cellStyle name="40% - Accent6 4 4 4 3" xfId="21681"/>
    <cellStyle name="40% - Accent6 4 4 5" xfId="12181"/>
    <cellStyle name="40% - Accent6 4 4 6" xfId="19091"/>
    <cellStyle name="40% - Accent6 4 5" xfId="12182"/>
    <cellStyle name="40% - Accent6 4 5 2" xfId="12183"/>
    <cellStyle name="40% - Accent6 4 5 2 2" xfId="12184"/>
    <cellStyle name="40% - Accent6 4 5 2 2 2" xfId="12185"/>
    <cellStyle name="40% - Accent6 4 5 2 2 3" xfId="23293"/>
    <cellStyle name="40% - Accent6 4 5 2 3" xfId="12186"/>
    <cellStyle name="40% - Accent6 4 5 2 4" xfId="20710"/>
    <cellStyle name="40% - Accent6 4 5 3" xfId="12187"/>
    <cellStyle name="40% - Accent6 4 5 3 2" xfId="12188"/>
    <cellStyle name="40% - Accent6 4 5 3 3" xfId="22003"/>
    <cellStyle name="40% - Accent6 4 5 4" xfId="12189"/>
    <cellStyle name="40% - Accent6 4 5 5" xfId="19417"/>
    <cellStyle name="40% - Accent6 4 6" xfId="12190"/>
    <cellStyle name="40% - Accent6 4 6 2" xfId="12191"/>
    <cellStyle name="40% - Accent6 4 6 2 2" xfId="12192"/>
    <cellStyle name="40% - Accent6 4 6 2 3" xfId="22648"/>
    <cellStyle name="40% - Accent6 4 6 3" xfId="12193"/>
    <cellStyle name="40% - Accent6 4 6 4" xfId="20065"/>
    <cellStyle name="40% - Accent6 4 7" xfId="12194"/>
    <cellStyle name="40% - Accent6 4 7 2" xfId="12195"/>
    <cellStyle name="40% - Accent6 4 7 3" xfId="21358"/>
    <cellStyle name="40% - Accent6 4 8" xfId="12196"/>
    <cellStyle name="40% - Accent6 4 9" xfId="18740"/>
    <cellStyle name="40% - Accent6 5" xfId="12197"/>
    <cellStyle name="40% - Accent6 5 2" xfId="12198"/>
    <cellStyle name="40% - Accent6 5 2 2" xfId="12199"/>
    <cellStyle name="40% - Accent6 5 2 2 2" xfId="12200"/>
    <cellStyle name="40% - Accent6 5 2 2 2 2" xfId="12201"/>
    <cellStyle name="40% - Accent6 5 2 2 2 2 2" xfId="12202"/>
    <cellStyle name="40% - Accent6 5 2 2 2 2 2 2" xfId="12203"/>
    <cellStyle name="40% - Accent6 5 2 2 2 2 2 3" xfId="23817"/>
    <cellStyle name="40% - Accent6 5 2 2 2 2 3" xfId="12204"/>
    <cellStyle name="40% - Accent6 5 2 2 2 2 4" xfId="21234"/>
    <cellStyle name="40% - Accent6 5 2 2 2 3" xfId="12205"/>
    <cellStyle name="40% - Accent6 5 2 2 2 3 2" xfId="12206"/>
    <cellStyle name="40% - Accent6 5 2 2 2 3 3" xfId="22527"/>
    <cellStyle name="40% - Accent6 5 2 2 2 4" xfId="12207"/>
    <cellStyle name="40% - Accent6 5 2 2 2 5" xfId="19940"/>
    <cellStyle name="40% - Accent6 5 2 2 3" xfId="12208"/>
    <cellStyle name="40% - Accent6 5 2 2 3 2" xfId="12209"/>
    <cellStyle name="40% - Accent6 5 2 2 3 2 2" xfId="12210"/>
    <cellStyle name="40% - Accent6 5 2 2 3 2 3" xfId="23172"/>
    <cellStyle name="40% - Accent6 5 2 2 3 3" xfId="12211"/>
    <cellStyle name="40% - Accent6 5 2 2 3 4" xfId="20589"/>
    <cellStyle name="40% - Accent6 5 2 2 4" xfId="12212"/>
    <cellStyle name="40% - Accent6 5 2 2 4 2" xfId="12213"/>
    <cellStyle name="40% - Accent6 5 2 2 4 3" xfId="21882"/>
    <cellStyle name="40% - Accent6 5 2 2 5" xfId="12214"/>
    <cellStyle name="40% - Accent6 5 2 2 6" xfId="19292"/>
    <cellStyle name="40% - Accent6 5 2 3" xfId="12215"/>
    <cellStyle name="40% - Accent6 5 2 3 2" xfId="12216"/>
    <cellStyle name="40% - Accent6 5 2 3 2 2" xfId="12217"/>
    <cellStyle name="40% - Accent6 5 2 3 2 2 2" xfId="12218"/>
    <cellStyle name="40% - Accent6 5 2 3 2 2 3" xfId="23495"/>
    <cellStyle name="40% - Accent6 5 2 3 2 3" xfId="12219"/>
    <cellStyle name="40% - Accent6 5 2 3 2 4" xfId="20912"/>
    <cellStyle name="40% - Accent6 5 2 3 3" xfId="12220"/>
    <cellStyle name="40% - Accent6 5 2 3 3 2" xfId="12221"/>
    <cellStyle name="40% - Accent6 5 2 3 3 3" xfId="22205"/>
    <cellStyle name="40% - Accent6 5 2 3 4" xfId="12222"/>
    <cellStyle name="40% - Accent6 5 2 3 5" xfId="19618"/>
    <cellStyle name="40% - Accent6 5 2 4" xfId="12223"/>
    <cellStyle name="40% - Accent6 5 2 4 2" xfId="12224"/>
    <cellStyle name="40% - Accent6 5 2 4 2 2" xfId="12225"/>
    <cellStyle name="40% - Accent6 5 2 4 2 3" xfId="22850"/>
    <cellStyle name="40% - Accent6 5 2 4 3" xfId="12226"/>
    <cellStyle name="40% - Accent6 5 2 4 4" xfId="20267"/>
    <cellStyle name="40% - Accent6 5 2 5" xfId="12227"/>
    <cellStyle name="40% - Accent6 5 2 5 2" xfId="12228"/>
    <cellStyle name="40% - Accent6 5 2 5 3" xfId="21560"/>
    <cellStyle name="40% - Accent6 5 2 6" xfId="12229"/>
    <cellStyle name="40% - Accent6 5 2 7" xfId="18966"/>
    <cellStyle name="40% - Accent6 5 3" xfId="12230"/>
    <cellStyle name="40% - Accent6 5 3 2" xfId="12231"/>
    <cellStyle name="40% - Accent6 5 3 2 2" xfId="12232"/>
    <cellStyle name="40% - Accent6 5 3 2 2 2" xfId="12233"/>
    <cellStyle name="40% - Accent6 5 3 2 2 2 2" xfId="12234"/>
    <cellStyle name="40% - Accent6 5 3 2 2 2 3" xfId="23656"/>
    <cellStyle name="40% - Accent6 5 3 2 2 3" xfId="12235"/>
    <cellStyle name="40% - Accent6 5 3 2 2 4" xfId="21073"/>
    <cellStyle name="40% - Accent6 5 3 2 3" xfId="12236"/>
    <cellStyle name="40% - Accent6 5 3 2 3 2" xfId="12237"/>
    <cellStyle name="40% - Accent6 5 3 2 3 3" xfId="22366"/>
    <cellStyle name="40% - Accent6 5 3 2 4" xfId="12238"/>
    <cellStyle name="40% - Accent6 5 3 2 5" xfId="19779"/>
    <cellStyle name="40% - Accent6 5 3 3" xfId="12239"/>
    <cellStyle name="40% - Accent6 5 3 3 2" xfId="12240"/>
    <cellStyle name="40% - Accent6 5 3 3 2 2" xfId="12241"/>
    <cellStyle name="40% - Accent6 5 3 3 2 3" xfId="23011"/>
    <cellStyle name="40% - Accent6 5 3 3 3" xfId="12242"/>
    <cellStyle name="40% - Accent6 5 3 3 4" xfId="20428"/>
    <cellStyle name="40% - Accent6 5 3 4" xfId="12243"/>
    <cellStyle name="40% - Accent6 5 3 4 2" xfId="12244"/>
    <cellStyle name="40% - Accent6 5 3 4 3" xfId="21721"/>
    <cellStyle name="40% - Accent6 5 3 5" xfId="12245"/>
    <cellStyle name="40% - Accent6 5 3 6" xfId="19131"/>
    <cellStyle name="40% - Accent6 5 4" xfId="12246"/>
    <cellStyle name="40% - Accent6 5 4 2" xfId="12247"/>
    <cellStyle name="40% - Accent6 5 4 2 2" xfId="12248"/>
    <cellStyle name="40% - Accent6 5 4 2 2 2" xfId="12249"/>
    <cellStyle name="40% - Accent6 5 4 2 2 3" xfId="23334"/>
    <cellStyle name="40% - Accent6 5 4 2 3" xfId="12250"/>
    <cellStyle name="40% - Accent6 5 4 2 4" xfId="20751"/>
    <cellStyle name="40% - Accent6 5 4 3" xfId="12251"/>
    <cellStyle name="40% - Accent6 5 4 3 2" xfId="12252"/>
    <cellStyle name="40% - Accent6 5 4 3 3" xfId="22044"/>
    <cellStyle name="40% - Accent6 5 4 4" xfId="12253"/>
    <cellStyle name="40% - Accent6 5 4 5" xfId="19457"/>
    <cellStyle name="40% - Accent6 5 5" xfId="12254"/>
    <cellStyle name="40% - Accent6 5 5 2" xfId="12255"/>
    <cellStyle name="40% - Accent6 5 5 2 2" xfId="12256"/>
    <cellStyle name="40% - Accent6 5 5 2 3" xfId="22689"/>
    <cellStyle name="40% - Accent6 5 5 3" xfId="12257"/>
    <cellStyle name="40% - Accent6 5 5 4" xfId="20106"/>
    <cellStyle name="40% - Accent6 5 6" xfId="12258"/>
    <cellStyle name="40% - Accent6 5 6 2" xfId="12259"/>
    <cellStyle name="40% - Accent6 5 6 3" xfId="21399"/>
    <cellStyle name="40% - Accent6 5 7" xfId="12260"/>
    <cellStyle name="40% - Accent6 5 8" xfId="18793"/>
    <cellStyle name="40% - Accent6 6" xfId="12261"/>
    <cellStyle name="40% - Accent6 6 2" xfId="12262"/>
    <cellStyle name="40% - Accent6 6 2 2" xfId="12263"/>
    <cellStyle name="40% - Accent6 6 2 2 2" xfId="12264"/>
    <cellStyle name="40% - Accent6 6 2 2 2 2" xfId="12265"/>
    <cellStyle name="40% - Accent6 6 2 2 2 2 2" xfId="12266"/>
    <cellStyle name="40% - Accent6 6 2 2 2 2 3" xfId="23737"/>
    <cellStyle name="40% - Accent6 6 2 2 2 3" xfId="12267"/>
    <cellStyle name="40% - Accent6 6 2 2 2 4" xfId="21154"/>
    <cellStyle name="40% - Accent6 6 2 2 3" xfId="12268"/>
    <cellStyle name="40% - Accent6 6 2 2 3 2" xfId="12269"/>
    <cellStyle name="40% - Accent6 6 2 2 3 3" xfId="22447"/>
    <cellStyle name="40% - Accent6 6 2 2 4" xfId="12270"/>
    <cellStyle name="40% - Accent6 6 2 2 5" xfId="19860"/>
    <cellStyle name="40% - Accent6 6 2 3" xfId="12271"/>
    <cellStyle name="40% - Accent6 6 2 3 2" xfId="12272"/>
    <cellStyle name="40% - Accent6 6 2 3 2 2" xfId="12273"/>
    <cellStyle name="40% - Accent6 6 2 3 2 3" xfId="23092"/>
    <cellStyle name="40% - Accent6 6 2 3 3" xfId="12274"/>
    <cellStyle name="40% - Accent6 6 2 3 4" xfId="20509"/>
    <cellStyle name="40% - Accent6 6 2 4" xfId="12275"/>
    <cellStyle name="40% - Accent6 6 2 4 2" xfId="12276"/>
    <cellStyle name="40% - Accent6 6 2 4 3" xfId="21802"/>
    <cellStyle name="40% - Accent6 6 2 5" xfId="12277"/>
    <cellStyle name="40% - Accent6 6 2 6" xfId="19212"/>
    <cellStyle name="40% - Accent6 6 3" xfId="12278"/>
    <cellStyle name="40% - Accent6 6 3 2" xfId="12279"/>
    <cellStyle name="40% - Accent6 6 3 2 2" xfId="12280"/>
    <cellStyle name="40% - Accent6 6 3 2 2 2" xfId="12281"/>
    <cellStyle name="40% - Accent6 6 3 2 2 3" xfId="23415"/>
    <cellStyle name="40% - Accent6 6 3 2 3" xfId="12282"/>
    <cellStyle name="40% - Accent6 6 3 2 4" xfId="20832"/>
    <cellStyle name="40% - Accent6 6 3 3" xfId="12283"/>
    <cellStyle name="40% - Accent6 6 3 3 2" xfId="12284"/>
    <cellStyle name="40% - Accent6 6 3 3 3" xfId="22125"/>
    <cellStyle name="40% - Accent6 6 3 4" xfId="12285"/>
    <cellStyle name="40% - Accent6 6 3 5" xfId="19538"/>
    <cellStyle name="40% - Accent6 6 4" xfId="12286"/>
    <cellStyle name="40% - Accent6 6 4 2" xfId="12287"/>
    <cellStyle name="40% - Accent6 6 4 2 2" xfId="12288"/>
    <cellStyle name="40% - Accent6 6 4 2 3" xfId="22770"/>
    <cellStyle name="40% - Accent6 6 4 3" xfId="12289"/>
    <cellStyle name="40% - Accent6 6 4 4" xfId="20187"/>
    <cellStyle name="40% - Accent6 6 5" xfId="12290"/>
    <cellStyle name="40% - Accent6 6 5 2" xfId="12291"/>
    <cellStyle name="40% - Accent6 6 5 3" xfId="21480"/>
    <cellStyle name="40% - Accent6 6 6" xfId="12292"/>
    <cellStyle name="40% - Accent6 6 7" xfId="18882"/>
    <cellStyle name="40% - Accent6 7" xfId="12293"/>
    <cellStyle name="40% - Accent6 7 2" xfId="12294"/>
    <cellStyle name="40% - Accent6 7 2 2" xfId="12295"/>
    <cellStyle name="40% - Accent6 7 2 2 2" xfId="12296"/>
    <cellStyle name="40% - Accent6 7 2 2 2 2" xfId="12297"/>
    <cellStyle name="40% - Accent6 7 2 2 2 3" xfId="23576"/>
    <cellStyle name="40% - Accent6 7 2 2 3" xfId="12298"/>
    <cellStyle name="40% - Accent6 7 2 2 4" xfId="20993"/>
    <cellStyle name="40% - Accent6 7 2 3" xfId="12299"/>
    <cellStyle name="40% - Accent6 7 2 3 2" xfId="12300"/>
    <cellStyle name="40% - Accent6 7 2 3 3" xfId="22286"/>
    <cellStyle name="40% - Accent6 7 2 4" xfId="12301"/>
    <cellStyle name="40% - Accent6 7 2 5" xfId="19699"/>
    <cellStyle name="40% - Accent6 7 3" xfId="12302"/>
    <cellStyle name="40% - Accent6 7 3 2" xfId="12303"/>
    <cellStyle name="40% - Accent6 7 3 2 2" xfId="12304"/>
    <cellStyle name="40% - Accent6 7 3 2 3" xfId="22931"/>
    <cellStyle name="40% - Accent6 7 3 3" xfId="12305"/>
    <cellStyle name="40% - Accent6 7 3 4" xfId="20348"/>
    <cellStyle name="40% - Accent6 7 4" xfId="12306"/>
    <cellStyle name="40% - Accent6 7 4 2" xfId="12307"/>
    <cellStyle name="40% - Accent6 7 4 3" xfId="21641"/>
    <cellStyle name="40% - Accent6 7 5" xfId="12308"/>
    <cellStyle name="40% - Accent6 7 6" xfId="19047"/>
    <cellStyle name="40% - Accent6 8" xfId="12309"/>
    <cellStyle name="40% - Accent6 8 2" xfId="12310"/>
    <cellStyle name="40% - Accent6 8 2 2" xfId="12311"/>
    <cellStyle name="40% - Accent6 8 2 2 2" xfId="12312"/>
    <cellStyle name="40% - Accent6 8 2 2 3" xfId="23253"/>
    <cellStyle name="40% - Accent6 8 2 3" xfId="12313"/>
    <cellStyle name="40% - Accent6 8 2 4" xfId="20670"/>
    <cellStyle name="40% - Accent6 8 3" xfId="12314"/>
    <cellStyle name="40% - Accent6 8 3 2" xfId="12315"/>
    <cellStyle name="40% - Accent6 8 3 3" xfId="21963"/>
    <cellStyle name="40% - Accent6 8 4" xfId="12316"/>
    <cellStyle name="40% - Accent6 8 5" xfId="19373"/>
    <cellStyle name="40% - Accent6 9" xfId="12317"/>
    <cellStyle name="40% - Accent6 9 2" xfId="12318"/>
    <cellStyle name="40% - Accent6 9 2 2" xfId="12319"/>
    <cellStyle name="40% - Accent6 9 2 3" xfId="22608"/>
    <cellStyle name="40% - Accent6 9 3" xfId="12320"/>
    <cellStyle name="40% - Accent6 9 4" xfId="20021"/>
    <cellStyle name="60% - Accent1 2" xfId="12321"/>
    <cellStyle name="60% - Accent1 2 2" xfId="18642"/>
    <cellStyle name="60% - Accent1 3" xfId="18613"/>
    <cellStyle name="60% - Accent2 2" xfId="12322"/>
    <cellStyle name="60% - Accent2 2 2" xfId="18643"/>
    <cellStyle name="60% - Accent2 3" xfId="18616"/>
    <cellStyle name="60% - Accent3 2" xfId="12323"/>
    <cellStyle name="60% - Accent3 2 2" xfId="18644"/>
    <cellStyle name="60% - Accent3 3" xfId="18619"/>
    <cellStyle name="60% - Accent4 2" xfId="12324"/>
    <cellStyle name="60% - Accent4 2 2" xfId="18645"/>
    <cellStyle name="60% - Accent4 3" xfId="18622"/>
    <cellStyle name="60% - Accent5 2" xfId="12325"/>
    <cellStyle name="60% - Accent5 2 2" xfId="18646"/>
    <cellStyle name="60% - Accent5 3" xfId="18626"/>
    <cellStyle name="60% - Accent6 2" xfId="12326"/>
    <cellStyle name="60% - Accent6 2 2" xfId="18647"/>
    <cellStyle name="60% - Accent6 3" xfId="18630"/>
    <cellStyle name="Accent1 2" xfId="12327"/>
    <cellStyle name="Accent1 2 2" xfId="18648"/>
    <cellStyle name="Accent1 3" xfId="18611"/>
    <cellStyle name="Accent2 2" xfId="12328"/>
    <cellStyle name="Accent2 2 2" xfId="18649"/>
    <cellStyle name="Accent2 3" xfId="18614"/>
    <cellStyle name="Accent3 2" xfId="12329"/>
    <cellStyle name="Accent3 2 2" xfId="18650"/>
    <cellStyle name="Accent3 3" xfId="18617"/>
    <cellStyle name="Accent4 2" xfId="12330"/>
    <cellStyle name="Accent4 2 2" xfId="18651"/>
    <cellStyle name="Accent4 3" xfId="18620"/>
    <cellStyle name="Accent5 2" xfId="12331"/>
    <cellStyle name="Accent5 2 2" xfId="18652"/>
    <cellStyle name="Accent5 3" xfId="18623"/>
    <cellStyle name="Accent6 2" xfId="12332"/>
    <cellStyle name="Accent6 2 2" xfId="18653"/>
    <cellStyle name="Accent6 3" xfId="18627"/>
    <cellStyle name="Bad 2" xfId="12333"/>
    <cellStyle name="Bad 2 2" xfId="18654"/>
    <cellStyle name="Bad 3" xfId="18600"/>
    <cellStyle name="Calculation 2" xfId="12334"/>
    <cellStyle name="Calculation 2 2" xfId="18655"/>
    <cellStyle name="Calculation 3" xfId="18604"/>
    <cellStyle name="Check Cell 2" xfId="12335"/>
    <cellStyle name="Check Cell 2 2" xfId="18656"/>
    <cellStyle name="Check Cell 3" xfId="18606"/>
    <cellStyle name="Comma 2" xfId="4"/>
    <cellStyle name="Comma 2 2" xfId="12336"/>
    <cellStyle name="Comma 2 2 2" xfId="18686"/>
    <cellStyle name="Comma 2 3" xfId="18657"/>
    <cellStyle name="Comma 3" xfId="12337"/>
    <cellStyle name="Comma 4" xfId="12338"/>
    <cellStyle name="Comma0" xfId="12339"/>
    <cellStyle name="Comma0 2" xfId="18678"/>
    <cellStyle name="Currency0" xfId="12340"/>
    <cellStyle name="Currency0 2" xfId="18679"/>
    <cellStyle name="Date" xfId="12341"/>
    <cellStyle name="Date 2" xfId="18680"/>
    <cellStyle name="Explanatory Text 2" xfId="12342"/>
    <cellStyle name="Explanatory Text 2 2" xfId="18658"/>
    <cellStyle name="Explanatory Text 3" xfId="18609"/>
    <cellStyle name="Fixed" xfId="12343"/>
    <cellStyle name="Fixed 2" xfId="18681"/>
    <cellStyle name="Good 2" xfId="12344"/>
    <cellStyle name="Good 2 2" xfId="18659"/>
    <cellStyle name="Good 3" xfId="18599"/>
    <cellStyle name="Heading 1 10" xfId="12345"/>
    <cellStyle name="Heading 1 10 2" xfId="19049"/>
    <cellStyle name="Heading 1 11" xfId="12346"/>
    <cellStyle name="Heading 1 11 2" xfId="19375"/>
    <cellStyle name="Heading 1 12" xfId="12347"/>
    <cellStyle name="Heading 1 12 2" xfId="20023"/>
    <cellStyle name="Heading 1 13" xfId="12348"/>
    <cellStyle name="Heading 1 13 2" xfId="21316"/>
    <cellStyle name="Heading 1 14" xfId="12349"/>
    <cellStyle name="Heading 1 15" xfId="18595"/>
    <cellStyle name="Heading 1 2" xfId="12350"/>
    <cellStyle name="Heading 1 2 2" xfId="18687"/>
    <cellStyle name="Heading 1 2 3" xfId="18660"/>
    <cellStyle name="Heading 1 3" xfId="12351"/>
    <cellStyle name="Heading 1 3 2" xfId="18696"/>
    <cellStyle name="Heading 1 4" xfId="12352"/>
    <cellStyle name="Heading 1 4 2" xfId="18692"/>
    <cellStyle name="Heading 1 5" xfId="12353"/>
    <cellStyle name="Heading 1 5 2" xfId="18704"/>
    <cellStyle name="Heading 1 6" xfId="12354"/>
    <cellStyle name="Heading 1 6 2" xfId="18718"/>
    <cellStyle name="Heading 1 7" xfId="12355"/>
    <cellStyle name="Heading 1 7 2" xfId="18742"/>
    <cellStyle name="Heading 1 8" xfId="12356"/>
    <cellStyle name="Heading 1 8 2" xfId="18682"/>
    <cellStyle name="Heading 1 9" xfId="12357"/>
    <cellStyle name="Heading 1 9 2" xfId="18884"/>
    <cellStyle name="Heading 2 10" xfId="12358"/>
    <cellStyle name="Heading 2 10 2" xfId="19050"/>
    <cellStyle name="Heading 2 11" xfId="12359"/>
    <cellStyle name="Heading 2 11 2" xfId="19376"/>
    <cellStyle name="Heading 2 12" xfId="12360"/>
    <cellStyle name="Heading 2 12 2" xfId="20024"/>
    <cellStyle name="Heading 2 13" xfId="12361"/>
    <cellStyle name="Heading 2 13 2" xfId="21317"/>
    <cellStyle name="Heading 2 14" xfId="12362"/>
    <cellStyle name="Heading 2 15" xfId="18596"/>
    <cellStyle name="Heading 2 2" xfId="12363"/>
    <cellStyle name="Heading 2 2 2" xfId="18688"/>
    <cellStyle name="Heading 2 2 3" xfId="18661"/>
    <cellStyle name="Heading 2 3" xfId="12364"/>
    <cellStyle name="Heading 2 3 2" xfId="18697"/>
    <cellStyle name="Heading 2 4" xfId="12365"/>
    <cellStyle name="Heading 2 4 2" xfId="18693"/>
    <cellStyle name="Heading 2 5" xfId="12366"/>
    <cellStyle name="Heading 2 5 2" xfId="18705"/>
    <cellStyle name="Heading 2 6" xfId="12367"/>
    <cellStyle name="Heading 2 6 2" xfId="18719"/>
    <cellStyle name="Heading 2 7" xfId="12368"/>
    <cellStyle name="Heading 2 7 2" xfId="18743"/>
    <cellStyle name="Heading 2 8" xfId="12369"/>
    <cellStyle name="Heading 2 8 2" xfId="18683"/>
    <cellStyle name="Heading 2 9" xfId="12370"/>
    <cellStyle name="Heading 2 9 2" xfId="18885"/>
    <cellStyle name="Heading 3 2" xfId="12371"/>
    <cellStyle name="Heading 3 2 2" xfId="18662"/>
    <cellStyle name="Heading 3 3" xfId="18597"/>
    <cellStyle name="Heading 4 2" xfId="12372"/>
    <cellStyle name="Heading 4 2 2" xfId="18663"/>
    <cellStyle name="Heading 4 3" xfId="18598"/>
    <cellStyle name="Hyperlink" xfId="7" builtinId="8"/>
    <cellStyle name="Input 2" xfId="12373"/>
    <cellStyle name="Input 2 2" xfId="18664"/>
    <cellStyle name="Input 3" xfId="18602"/>
    <cellStyle name="Linked Cell 2" xfId="12374"/>
    <cellStyle name="Linked Cell 2 2" xfId="18665"/>
    <cellStyle name="Linked Cell 3" xfId="18605"/>
    <cellStyle name="Neutral 2" xfId="12375"/>
    <cellStyle name="Neutral 2 2" xfId="18666"/>
    <cellStyle name="Neutral 3" xfId="18601"/>
    <cellStyle name="Normal" xfId="0" builtinId="0"/>
    <cellStyle name="Normal 10" xfId="12376"/>
    <cellStyle name="Normal 10 2" xfId="12377"/>
    <cellStyle name="Normal 10 2 2" xfId="12378"/>
    <cellStyle name="Normal 10 2 3" xfId="18798"/>
    <cellStyle name="Normal 10 3" xfId="12379"/>
    <cellStyle name="Normal 10 3 2" xfId="18780"/>
    <cellStyle name="Normal 10 4" xfId="12380"/>
    <cellStyle name="Normal 10 5" xfId="12381"/>
    <cellStyle name="Normal 10 6" xfId="18700"/>
    <cellStyle name="Normal 11" xfId="12382"/>
    <cellStyle name="Normal 11 10" xfId="12383"/>
    <cellStyle name="Normal 11 10 2" xfId="12384"/>
    <cellStyle name="Normal 11 11" xfId="12385"/>
    <cellStyle name="Normal 11 2" xfId="12386"/>
    <cellStyle name="Normal 11 2 10" xfId="12387"/>
    <cellStyle name="Normal 11 2 2" xfId="12388"/>
    <cellStyle name="Normal 11 2 2 2" xfId="12389"/>
    <cellStyle name="Normal 11 2 2 2 2" xfId="12390"/>
    <cellStyle name="Normal 11 2 2 2 2 2" xfId="12391"/>
    <cellStyle name="Normal 11 2 2 2 2 2 2" xfId="12392"/>
    <cellStyle name="Normal 11 2 2 2 2 2 2 2" xfId="12393"/>
    <cellStyle name="Normal 11 2 2 2 2 2 2 2 2" xfId="12394"/>
    <cellStyle name="Normal 11 2 2 2 2 2 2 2 2 2" xfId="12395"/>
    <cellStyle name="Normal 11 2 2 2 2 2 2 2 2 2 2" xfId="12396"/>
    <cellStyle name="Normal 11 2 2 2 2 2 2 2 2 3" xfId="12397"/>
    <cellStyle name="Normal 11 2 2 2 2 2 2 2 3" xfId="12398"/>
    <cellStyle name="Normal 11 2 2 2 2 2 2 2 3 2" xfId="12399"/>
    <cellStyle name="Normal 11 2 2 2 2 2 2 2 4" xfId="12400"/>
    <cellStyle name="Normal 11 2 2 2 2 2 2 3" xfId="12401"/>
    <cellStyle name="Normal 11 2 2 2 2 2 2 3 2" xfId="12402"/>
    <cellStyle name="Normal 11 2 2 2 2 2 2 3 2 2" xfId="12403"/>
    <cellStyle name="Normal 11 2 2 2 2 2 2 3 3" xfId="12404"/>
    <cellStyle name="Normal 11 2 2 2 2 2 2 4" xfId="12405"/>
    <cellStyle name="Normal 11 2 2 2 2 2 2 4 2" xfId="12406"/>
    <cellStyle name="Normal 11 2 2 2 2 2 2 5" xfId="12407"/>
    <cellStyle name="Normal 11 2 2 2 2 2 3" xfId="12408"/>
    <cellStyle name="Normal 11 2 2 2 2 2 3 2" xfId="12409"/>
    <cellStyle name="Normal 11 2 2 2 2 2 3 2 2" xfId="12410"/>
    <cellStyle name="Normal 11 2 2 2 2 2 3 2 2 2" xfId="12411"/>
    <cellStyle name="Normal 11 2 2 2 2 2 3 2 3" xfId="12412"/>
    <cellStyle name="Normal 11 2 2 2 2 2 3 3" xfId="12413"/>
    <cellStyle name="Normal 11 2 2 2 2 2 3 3 2" xfId="12414"/>
    <cellStyle name="Normal 11 2 2 2 2 2 3 4" xfId="12415"/>
    <cellStyle name="Normal 11 2 2 2 2 2 4" xfId="12416"/>
    <cellStyle name="Normal 11 2 2 2 2 2 4 2" xfId="12417"/>
    <cellStyle name="Normal 11 2 2 2 2 2 4 2 2" xfId="12418"/>
    <cellStyle name="Normal 11 2 2 2 2 2 4 3" xfId="12419"/>
    <cellStyle name="Normal 11 2 2 2 2 2 5" xfId="12420"/>
    <cellStyle name="Normal 11 2 2 2 2 2 5 2" xfId="12421"/>
    <cellStyle name="Normal 11 2 2 2 2 2 6" xfId="12422"/>
    <cellStyle name="Normal 11 2 2 2 2 3" xfId="12423"/>
    <cellStyle name="Normal 11 2 2 2 2 3 2" xfId="12424"/>
    <cellStyle name="Normal 11 2 2 2 2 3 2 2" xfId="12425"/>
    <cellStyle name="Normal 11 2 2 2 2 3 2 2 2" xfId="12426"/>
    <cellStyle name="Normal 11 2 2 2 2 3 2 2 2 2" xfId="12427"/>
    <cellStyle name="Normal 11 2 2 2 2 3 2 2 3" xfId="12428"/>
    <cellStyle name="Normal 11 2 2 2 2 3 2 3" xfId="12429"/>
    <cellStyle name="Normal 11 2 2 2 2 3 2 3 2" xfId="12430"/>
    <cellStyle name="Normal 11 2 2 2 2 3 2 4" xfId="12431"/>
    <cellStyle name="Normal 11 2 2 2 2 3 3" xfId="12432"/>
    <cellStyle name="Normal 11 2 2 2 2 3 3 2" xfId="12433"/>
    <cellStyle name="Normal 11 2 2 2 2 3 3 2 2" xfId="12434"/>
    <cellStyle name="Normal 11 2 2 2 2 3 3 3" xfId="12435"/>
    <cellStyle name="Normal 11 2 2 2 2 3 4" xfId="12436"/>
    <cellStyle name="Normal 11 2 2 2 2 3 4 2" xfId="12437"/>
    <cellStyle name="Normal 11 2 2 2 2 3 5" xfId="12438"/>
    <cellStyle name="Normal 11 2 2 2 2 4" xfId="12439"/>
    <cellStyle name="Normal 11 2 2 2 2 4 2" xfId="12440"/>
    <cellStyle name="Normal 11 2 2 2 2 4 2 2" xfId="12441"/>
    <cellStyle name="Normal 11 2 2 2 2 4 2 2 2" xfId="12442"/>
    <cellStyle name="Normal 11 2 2 2 2 4 2 3" xfId="12443"/>
    <cellStyle name="Normal 11 2 2 2 2 4 3" xfId="12444"/>
    <cellStyle name="Normal 11 2 2 2 2 4 3 2" xfId="12445"/>
    <cellStyle name="Normal 11 2 2 2 2 4 4" xfId="12446"/>
    <cellStyle name="Normal 11 2 2 2 2 5" xfId="12447"/>
    <cellStyle name="Normal 11 2 2 2 2 5 2" xfId="12448"/>
    <cellStyle name="Normal 11 2 2 2 2 5 2 2" xfId="12449"/>
    <cellStyle name="Normal 11 2 2 2 2 5 3" xfId="12450"/>
    <cellStyle name="Normal 11 2 2 2 2 6" xfId="12451"/>
    <cellStyle name="Normal 11 2 2 2 2 6 2" xfId="12452"/>
    <cellStyle name="Normal 11 2 2 2 2 7" xfId="12453"/>
    <cellStyle name="Normal 11 2 2 2 3" xfId="12454"/>
    <cellStyle name="Normal 11 2 2 2 3 2" xfId="12455"/>
    <cellStyle name="Normal 11 2 2 2 3 2 2" xfId="12456"/>
    <cellStyle name="Normal 11 2 2 2 3 2 2 2" xfId="12457"/>
    <cellStyle name="Normal 11 2 2 2 3 2 2 2 2" xfId="12458"/>
    <cellStyle name="Normal 11 2 2 2 3 2 2 2 2 2" xfId="12459"/>
    <cellStyle name="Normal 11 2 2 2 3 2 2 2 3" xfId="12460"/>
    <cellStyle name="Normal 11 2 2 2 3 2 2 3" xfId="12461"/>
    <cellStyle name="Normal 11 2 2 2 3 2 2 3 2" xfId="12462"/>
    <cellStyle name="Normal 11 2 2 2 3 2 2 4" xfId="12463"/>
    <cellStyle name="Normal 11 2 2 2 3 2 3" xfId="12464"/>
    <cellStyle name="Normal 11 2 2 2 3 2 3 2" xfId="12465"/>
    <cellStyle name="Normal 11 2 2 2 3 2 3 2 2" xfId="12466"/>
    <cellStyle name="Normal 11 2 2 2 3 2 3 3" xfId="12467"/>
    <cellStyle name="Normal 11 2 2 2 3 2 4" xfId="12468"/>
    <cellStyle name="Normal 11 2 2 2 3 2 4 2" xfId="12469"/>
    <cellStyle name="Normal 11 2 2 2 3 2 5" xfId="12470"/>
    <cellStyle name="Normal 11 2 2 2 3 3" xfId="12471"/>
    <cellStyle name="Normal 11 2 2 2 3 3 2" xfId="12472"/>
    <cellStyle name="Normal 11 2 2 2 3 3 2 2" xfId="12473"/>
    <cellStyle name="Normal 11 2 2 2 3 3 2 2 2" xfId="12474"/>
    <cellStyle name="Normal 11 2 2 2 3 3 2 3" xfId="12475"/>
    <cellStyle name="Normal 11 2 2 2 3 3 3" xfId="12476"/>
    <cellStyle name="Normal 11 2 2 2 3 3 3 2" xfId="12477"/>
    <cellStyle name="Normal 11 2 2 2 3 3 4" xfId="12478"/>
    <cellStyle name="Normal 11 2 2 2 3 4" xfId="12479"/>
    <cellStyle name="Normal 11 2 2 2 3 4 2" xfId="12480"/>
    <cellStyle name="Normal 11 2 2 2 3 4 2 2" xfId="12481"/>
    <cellStyle name="Normal 11 2 2 2 3 4 3" xfId="12482"/>
    <cellStyle name="Normal 11 2 2 2 3 5" xfId="12483"/>
    <cellStyle name="Normal 11 2 2 2 3 5 2" xfId="12484"/>
    <cellStyle name="Normal 11 2 2 2 3 6" xfId="12485"/>
    <cellStyle name="Normal 11 2 2 2 4" xfId="12486"/>
    <cellStyle name="Normal 11 2 2 2 4 2" xfId="12487"/>
    <cellStyle name="Normal 11 2 2 2 4 2 2" xfId="12488"/>
    <cellStyle name="Normal 11 2 2 2 4 2 2 2" xfId="12489"/>
    <cellStyle name="Normal 11 2 2 2 4 2 2 2 2" xfId="12490"/>
    <cellStyle name="Normal 11 2 2 2 4 2 2 3" xfId="12491"/>
    <cellStyle name="Normal 11 2 2 2 4 2 3" xfId="12492"/>
    <cellStyle name="Normal 11 2 2 2 4 2 3 2" xfId="12493"/>
    <cellStyle name="Normal 11 2 2 2 4 2 4" xfId="12494"/>
    <cellStyle name="Normal 11 2 2 2 4 3" xfId="12495"/>
    <cellStyle name="Normal 11 2 2 2 4 3 2" xfId="12496"/>
    <cellStyle name="Normal 11 2 2 2 4 3 2 2" xfId="12497"/>
    <cellStyle name="Normal 11 2 2 2 4 3 3" xfId="12498"/>
    <cellStyle name="Normal 11 2 2 2 4 4" xfId="12499"/>
    <cellStyle name="Normal 11 2 2 2 4 4 2" xfId="12500"/>
    <cellStyle name="Normal 11 2 2 2 4 5" xfId="12501"/>
    <cellStyle name="Normal 11 2 2 2 5" xfId="12502"/>
    <cellStyle name="Normal 11 2 2 2 5 2" xfId="12503"/>
    <cellStyle name="Normal 11 2 2 2 5 2 2" xfId="12504"/>
    <cellStyle name="Normal 11 2 2 2 5 2 2 2" xfId="12505"/>
    <cellStyle name="Normal 11 2 2 2 5 2 3" xfId="12506"/>
    <cellStyle name="Normal 11 2 2 2 5 3" xfId="12507"/>
    <cellStyle name="Normal 11 2 2 2 5 3 2" xfId="12508"/>
    <cellStyle name="Normal 11 2 2 2 5 4" xfId="12509"/>
    <cellStyle name="Normal 11 2 2 2 6" xfId="12510"/>
    <cellStyle name="Normal 11 2 2 2 6 2" xfId="12511"/>
    <cellStyle name="Normal 11 2 2 2 6 2 2" xfId="12512"/>
    <cellStyle name="Normal 11 2 2 2 6 3" xfId="12513"/>
    <cellStyle name="Normal 11 2 2 2 7" xfId="12514"/>
    <cellStyle name="Normal 11 2 2 2 7 2" xfId="12515"/>
    <cellStyle name="Normal 11 2 2 2 8" xfId="12516"/>
    <cellStyle name="Normal 11 2 2 3" xfId="12517"/>
    <cellStyle name="Normal 11 2 2 3 2" xfId="12518"/>
    <cellStyle name="Normal 11 2 2 3 2 2" xfId="12519"/>
    <cellStyle name="Normal 11 2 2 3 2 2 2" xfId="12520"/>
    <cellStyle name="Normal 11 2 2 3 2 2 2 2" xfId="12521"/>
    <cellStyle name="Normal 11 2 2 3 2 2 2 2 2" xfId="12522"/>
    <cellStyle name="Normal 11 2 2 3 2 2 2 2 2 2" xfId="12523"/>
    <cellStyle name="Normal 11 2 2 3 2 2 2 2 3" xfId="12524"/>
    <cellStyle name="Normal 11 2 2 3 2 2 2 3" xfId="12525"/>
    <cellStyle name="Normal 11 2 2 3 2 2 2 3 2" xfId="12526"/>
    <cellStyle name="Normal 11 2 2 3 2 2 2 4" xfId="12527"/>
    <cellStyle name="Normal 11 2 2 3 2 2 3" xfId="12528"/>
    <cellStyle name="Normal 11 2 2 3 2 2 3 2" xfId="12529"/>
    <cellStyle name="Normal 11 2 2 3 2 2 3 2 2" xfId="12530"/>
    <cellStyle name="Normal 11 2 2 3 2 2 3 3" xfId="12531"/>
    <cellStyle name="Normal 11 2 2 3 2 2 4" xfId="12532"/>
    <cellStyle name="Normal 11 2 2 3 2 2 4 2" xfId="12533"/>
    <cellStyle name="Normal 11 2 2 3 2 2 5" xfId="12534"/>
    <cellStyle name="Normal 11 2 2 3 2 3" xfId="12535"/>
    <cellStyle name="Normal 11 2 2 3 2 3 2" xfId="12536"/>
    <cellStyle name="Normal 11 2 2 3 2 3 2 2" xfId="12537"/>
    <cellStyle name="Normal 11 2 2 3 2 3 2 2 2" xfId="12538"/>
    <cellStyle name="Normal 11 2 2 3 2 3 2 3" xfId="12539"/>
    <cellStyle name="Normal 11 2 2 3 2 3 3" xfId="12540"/>
    <cellStyle name="Normal 11 2 2 3 2 3 3 2" xfId="12541"/>
    <cellStyle name="Normal 11 2 2 3 2 3 4" xfId="12542"/>
    <cellStyle name="Normal 11 2 2 3 2 4" xfId="12543"/>
    <cellStyle name="Normal 11 2 2 3 2 4 2" xfId="12544"/>
    <cellStyle name="Normal 11 2 2 3 2 4 2 2" xfId="12545"/>
    <cellStyle name="Normal 11 2 2 3 2 4 3" xfId="12546"/>
    <cellStyle name="Normal 11 2 2 3 2 5" xfId="12547"/>
    <cellStyle name="Normal 11 2 2 3 2 5 2" xfId="12548"/>
    <cellStyle name="Normal 11 2 2 3 2 6" xfId="12549"/>
    <cellStyle name="Normal 11 2 2 3 3" xfId="12550"/>
    <cellStyle name="Normal 11 2 2 3 3 2" xfId="12551"/>
    <cellStyle name="Normal 11 2 2 3 3 2 2" xfId="12552"/>
    <cellStyle name="Normal 11 2 2 3 3 2 2 2" xfId="12553"/>
    <cellStyle name="Normal 11 2 2 3 3 2 2 2 2" xfId="12554"/>
    <cellStyle name="Normal 11 2 2 3 3 2 2 3" xfId="12555"/>
    <cellStyle name="Normal 11 2 2 3 3 2 3" xfId="12556"/>
    <cellStyle name="Normal 11 2 2 3 3 2 3 2" xfId="12557"/>
    <cellStyle name="Normal 11 2 2 3 3 2 4" xfId="12558"/>
    <cellStyle name="Normal 11 2 2 3 3 3" xfId="12559"/>
    <cellStyle name="Normal 11 2 2 3 3 3 2" xfId="12560"/>
    <cellStyle name="Normal 11 2 2 3 3 3 2 2" xfId="12561"/>
    <cellStyle name="Normal 11 2 2 3 3 3 3" xfId="12562"/>
    <cellStyle name="Normal 11 2 2 3 3 4" xfId="12563"/>
    <cellStyle name="Normal 11 2 2 3 3 4 2" xfId="12564"/>
    <cellStyle name="Normal 11 2 2 3 3 5" xfId="12565"/>
    <cellStyle name="Normal 11 2 2 3 4" xfId="12566"/>
    <cellStyle name="Normal 11 2 2 3 4 2" xfId="12567"/>
    <cellStyle name="Normal 11 2 2 3 4 2 2" xfId="12568"/>
    <cellStyle name="Normal 11 2 2 3 4 2 2 2" xfId="12569"/>
    <cellStyle name="Normal 11 2 2 3 4 2 3" xfId="12570"/>
    <cellStyle name="Normal 11 2 2 3 4 3" xfId="12571"/>
    <cellStyle name="Normal 11 2 2 3 4 3 2" xfId="12572"/>
    <cellStyle name="Normal 11 2 2 3 4 4" xfId="12573"/>
    <cellStyle name="Normal 11 2 2 3 5" xfId="12574"/>
    <cellStyle name="Normal 11 2 2 3 5 2" xfId="12575"/>
    <cellStyle name="Normal 11 2 2 3 5 2 2" xfId="12576"/>
    <cellStyle name="Normal 11 2 2 3 5 3" xfId="12577"/>
    <cellStyle name="Normal 11 2 2 3 6" xfId="12578"/>
    <cellStyle name="Normal 11 2 2 3 6 2" xfId="12579"/>
    <cellStyle name="Normal 11 2 2 3 7" xfId="12580"/>
    <cellStyle name="Normal 11 2 2 4" xfId="12581"/>
    <cellStyle name="Normal 11 2 2 4 2" xfId="12582"/>
    <cellStyle name="Normal 11 2 2 4 2 2" xfId="12583"/>
    <cellStyle name="Normal 11 2 2 4 2 2 2" xfId="12584"/>
    <cellStyle name="Normal 11 2 2 4 2 2 2 2" xfId="12585"/>
    <cellStyle name="Normal 11 2 2 4 2 2 2 2 2" xfId="12586"/>
    <cellStyle name="Normal 11 2 2 4 2 2 2 3" xfId="12587"/>
    <cellStyle name="Normal 11 2 2 4 2 2 3" xfId="12588"/>
    <cellStyle name="Normal 11 2 2 4 2 2 3 2" xfId="12589"/>
    <cellStyle name="Normal 11 2 2 4 2 2 4" xfId="12590"/>
    <cellStyle name="Normal 11 2 2 4 2 3" xfId="12591"/>
    <cellStyle name="Normal 11 2 2 4 2 3 2" xfId="12592"/>
    <cellStyle name="Normal 11 2 2 4 2 3 2 2" xfId="12593"/>
    <cellStyle name="Normal 11 2 2 4 2 3 3" xfId="12594"/>
    <cellStyle name="Normal 11 2 2 4 2 4" xfId="12595"/>
    <cellStyle name="Normal 11 2 2 4 2 4 2" xfId="12596"/>
    <cellStyle name="Normal 11 2 2 4 2 5" xfId="12597"/>
    <cellStyle name="Normal 11 2 2 4 3" xfId="12598"/>
    <cellStyle name="Normal 11 2 2 4 3 2" xfId="12599"/>
    <cellStyle name="Normal 11 2 2 4 3 2 2" xfId="12600"/>
    <cellStyle name="Normal 11 2 2 4 3 2 2 2" xfId="12601"/>
    <cellStyle name="Normal 11 2 2 4 3 2 3" xfId="12602"/>
    <cellStyle name="Normal 11 2 2 4 3 3" xfId="12603"/>
    <cellStyle name="Normal 11 2 2 4 3 3 2" xfId="12604"/>
    <cellStyle name="Normal 11 2 2 4 3 4" xfId="12605"/>
    <cellStyle name="Normal 11 2 2 4 4" xfId="12606"/>
    <cellStyle name="Normal 11 2 2 4 4 2" xfId="12607"/>
    <cellStyle name="Normal 11 2 2 4 4 2 2" xfId="12608"/>
    <cellStyle name="Normal 11 2 2 4 4 3" xfId="12609"/>
    <cellStyle name="Normal 11 2 2 4 5" xfId="12610"/>
    <cellStyle name="Normal 11 2 2 4 5 2" xfId="12611"/>
    <cellStyle name="Normal 11 2 2 4 6" xfId="12612"/>
    <cellStyle name="Normal 11 2 2 5" xfId="12613"/>
    <cellStyle name="Normal 11 2 2 5 2" xfId="12614"/>
    <cellStyle name="Normal 11 2 2 5 2 2" xfId="12615"/>
    <cellStyle name="Normal 11 2 2 5 2 2 2" xfId="12616"/>
    <cellStyle name="Normal 11 2 2 5 2 2 2 2" xfId="12617"/>
    <cellStyle name="Normal 11 2 2 5 2 2 3" xfId="12618"/>
    <cellStyle name="Normal 11 2 2 5 2 3" xfId="12619"/>
    <cellStyle name="Normal 11 2 2 5 2 3 2" xfId="12620"/>
    <cellStyle name="Normal 11 2 2 5 2 4" xfId="12621"/>
    <cellStyle name="Normal 11 2 2 5 3" xfId="12622"/>
    <cellStyle name="Normal 11 2 2 5 3 2" xfId="12623"/>
    <cellStyle name="Normal 11 2 2 5 3 2 2" xfId="12624"/>
    <cellStyle name="Normal 11 2 2 5 3 3" xfId="12625"/>
    <cellStyle name="Normal 11 2 2 5 4" xfId="12626"/>
    <cellStyle name="Normal 11 2 2 5 4 2" xfId="12627"/>
    <cellStyle name="Normal 11 2 2 5 5" xfId="12628"/>
    <cellStyle name="Normal 11 2 2 6" xfId="12629"/>
    <cellStyle name="Normal 11 2 2 6 2" xfId="12630"/>
    <cellStyle name="Normal 11 2 2 6 2 2" xfId="12631"/>
    <cellStyle name="Normal 11 2 2 6 2 2 2" xfId="12632"/>
    <cellStyle name="Normal 11 2 2 6 2 3" xfId="12633"/>
    <cellStyle name="Normal 11 2 2 6 3" xfId="12634"/>
    <cellStyle name="Normal 11 2 2 6 3 2" xfId="12635"/>
    <cellStyle name="Normal 11 2 2 6 4" xfId="12636"/>
    <cellStyle name="Normal 11 2 2 7" xfId="12637"/>
    <cellStyle name="Normal 11 2 2 7 2" xfId="12638"/>
    <cellStyle name="Normal 11 2 2 7 2 2" xfId="12639"/>
    <cellStyle name="Normal 11 2 2 7 3" xfId="12640"/>
    <cellStyle name="Normal 11 2 2 8" xfId="12641"/>
    <cellStyle name="Normal 11 2 2 8 2" xfId="12642"/>
    <cellStyle name="Normal 11 2 2 9" xfId="12643"/>
    <cellStyle name="Normal 11 2 3" xfId="12644"/>
    <cellStyle name="Normal 11 2 3 2" xfId="12645"/>
    <cellStyle name="Normal 11 2 3 2 2" xfId="12646"/>
    <cellStyle name="Normal 11 2 3 2 2 2" xfId="12647"/>
    <cellStyle name="Normal 11 2 3 2 2 2 2" xfId="12648"/>
    <cellStyle name="Normal 11 2 3 2 2 2 2 2" xfId="12649"/>
    <cellStyle name="Normal 11 2 3 2 2 2 2 2 2" xfId="12650"/>
    <cellStyle name="Normal 11 2 3 2 2 2 2 2 2 2" xfId="12651"/>
    <cellStyle name="Normal 11 2 3 2 2 2 2 2 3" xfId="12652"/>
    <cellStyle name="Normal 11 2 3 2 2 2 2 3" xfId="12653"/>
    <cellStyle name="Normal 11 2 3 2 2 2 2 3 2" xfId="12654"/>
    <cellStyle name="Normal 11 2 3 2 2 2 2 4" xfId="12655"/>
    <cellStyle name="Normal 11 2 3 2 2 2 3" xfId="12656"/>
    <cellStyle name="Normal 11 2 3 2 2 2 3 2" xfId="12657"/>
    <cellStyle name="Normal 11 2 3 2 2 2 3 2 2" xfId="12658"/>
    <cellStyle name="Normal 11 2 3 2 2 2 3 3" xfId="12659"/>
    <cellStyle name="Normal 11 2 3 2 2 2 4" xfId="12660"/>
    <cellStyle name="Normal 11 2 3 2 2 2 4 2" xfId="12661"/>
    <cellStyle name="Normal 11 2 3 2 2 2 5" xfId="12662"/>
    <cellStyle name="Normal 11 2 3 2 2 3" xfId="12663"/>
    <cellStyle name="Normal 11 2 3 2 2 3 2" xfId="12664"/>
    <cellStyle name="Normal 11 2 3 2 2 3 2 2" xfId="12665"/>
    <cellStyle name="Normal 11 2 3 2 2 3 2 2 2" xfId="12666"/>
    <cellStyle name="Normal 11 2 3 2 2 3 2 3" xfId="12667"/>
    <cellStyle name="Normal 11 2 3 2 2 3 3" xfId="12668"/>
    <cellStyle name="Normal 11 2 3 2 2 3 3 2" xfId="12669"/>
    <cellStyle name="Normal 11 2 3 2 2 3 4" xfId="12670"/>
    <cellStyle name="Normal 11 2 3 2 2 4" xfId="12671"/>
    <cellStyle name="Normal 11 2 3 2 2 4 2" xfId="12672"/>
    <cellStyle name="Normal 11 2 3 2 2 4 2 2" xfId="12673"/>
    <cellStyle name="Normal 11 2 3 2 2 4 3" xfId="12674"/>
    <cellStyle name="Normal 11 2 3 2 2 5" xfId="12675"/>
    <cellStyle name="Normal 11 2 3 2 2 5 2" xfId="12676"/>
    <cellStyle name="Normal 11 2 3 2 2 6" xfId="12677"/>
    <cellStyle name="Normal 11 2 3 2 3" xfId="12678"/>
    <cellStyle name="Normal 11 2 3 2 3 2" xfId="12679"/>
    <cellStyle name="Normal 11 2 3 2 3 2 2" xfId="12680"/>
    <cellStyle name="Normal 11 2 3 2 3 2 2 2" xfId="12681"/>
    <cellStyle name="Normal 11 2 3 2 3 2 2 2 2" xfId="12682"/>
    <cellStyle name="Normal 11 2 3 2 3 2 2 3" xfId="12683"/>
    <cellStyle name="Normal 11 2 3 2 3 2 3" xfId="12684"/>
    <cellStyle name="Normal 11 2 3 2 3 2 3 2" xfId="12685"/>
    <cellStyle name="Normal 11 2 3 2 3 2 4" xfId="12686"/>
    <cellStyle name="Normal 11 2 3 2 3 3" xfId="12687"/>
    <cellStyle name="Normal 11 2 3 2 3 3 2" xfId="12688"/>
    <cellStyle name="Normal 11 2 3 2 3 3 2 2" xfId="12689"/>
    <cellStyle name="Normal 11 2 3 2 3 3 3" xfId="12690"/>
    <cellStyle name="Normal 11 2 3 2 3 4" xfId="12691"/>
    <cellStyle name="Normal 11 2 3 2 3 4 2" xfId="12692"/>
    <cellStyle name="Normal 11 2 3 2 3 5" xfId="12693"/>
    <cellStyle name="Normal 11 2 3 2 4" xfId="12694"/>
    <cellStyle name="Normal 11 2 3 2 4 2" xfId="12695"/>
    <cellStyle name="Normal 11 2 3 2 4 2 2" xfId="12696"/>
    <cellStyle name="Normal 11 2 3 2 4 2 2 2" xfId="12697"/>
    <cellStyle name="Normal 11 2 3 2 4 2 3" xfId="12698"/>
    <cellStyle name="Normal 11 2 3 2 4 3" xfId="12699"/>
    <cellStyle name="Normal 11 2 3 2 4 3 2" xfId="12700"/>
    <cellStyle name="Normal 11 2 3 2 4 4" xfId="12701"/>
    <cellStyle name="Normal 11 2 3 2 5" xfId="12702"/>
    <cellStyle name="Normal 11 2 3 2 5 2" xfId="12703"/>
    <cellStyle name="Normal 11 2 3 2 5 2 2" xfId="12704"/>
    <cellStyle name="Normal 11 2 3 2 5 3" xfId="12705"/>
    <cellStyle name="Normal 11 2 3 2 6" xfId="12706"/>
    <cellStyle name="Normal 11 2 3 2 6 2" xfId="12707"/>
    <cellStyle name="Normal 11 2 3 2 7" xfId="12708"/>
    <cellStyle name="Normal 11 2 3 3" xfId="12709"/>
    <cellStyle name="Normal 11 2 3 3 2" xfId="12710"/>
    <cellStyle name="Normal 11 2 3 3 2 2" xfId="12711"/>
    <cellStyle name="Normal 11 2 3 3 2 2 2" xfId="12712"/>
    <cellStyle name="Normal 11 2 3 3 2 2 2 2" xfId="12713"/>
    <cellStyle name="Normal 11 2 3 3 2 2 2 2 2" xfId="12714"/>
    <cellStyle name="Normal 11 2 3 3 2 2 2 3" xfId="12715"/>
    <cellStyle name="Normal 11 2 3 3 2 2 3" xfId="12716"/>
    <cellStyle name="Normal 11 2 3 3 2 2 3 2" xfId="12717"/>
    <cellStyle name="Normal 11 2 3 3 2 2 4" xfId="12718"/>
    <cellStyle name="Normal 11 2 3 3 2 3" xfId="12719"/>
    <cellStyle name="Normal 11 2 3 3 2 3 2" xfId="12720"/>
    <cellStyle name="Normal 11 2 3 3 2 3 2 2" xfId="12721"/>
    <cellStyle name="Normal 11 2 3 3 2 3 3" xfId="12722"/>
    <cellStyle name="Normal 11 2 3 3 2 4" xfId="12723"/>
    <cellStyle name="Normal 11 2 3 3 2 4 2" xfId="12724"/>
    <cellStyle name="Normal 11 2 3 3 2 5" xfId="12725"/>
    <cellStyle name="Normal 11 2 3 3 3" xfId="12726"/>
    <cellStyle name="Normal 11 2 3 3 3 2" xfId="12727"/>
    <cellStyle name="Normal 11 2 3 3 3 2 2" xfId="12728"/>
    <cellStyle name="Normal 11 2 3 3 3 2 2 2" xfId="12729"/>
    <cellStyle name="Normal 11 2 3 3 3 2 3" xfId="12730"/>
    <cellStyle name="Normal 11 2 3 3 3 3" xfId="12731"/>
    <cellStyle name="Normal 11 2 3 3 3 3 2" xfId="12732"/>
    <cellStyle name="Normal 11 2 3 3 3 4" xfId="12733"/>
    <cellStyle name="Normal 11 2 3 3 4" xfId="12734"/>
    <cellStyle name="Normal 11 2 3 3 4 2" xfId="12735"/>
    <cellStyle name="Normal 11 2 3 3 4 2 2" xfId="12736"/>
    <cellStyle name="Normal 11 2 3 3 4 3" xfId="12737"/>
    <cellStyle name="Normal 11 2 3 3 5" xfId="12738"/>
    <cellStyle name="Normal 11 2 3 3 5 2" xfId="12739"/>
    <cellStyle name="Normal 11 2 3 3 6" xfId="12740"/>
    <cellStyle name="Normal 11 2 3 4" xfId="12741"/>
    <cellStyle name="Normal 11 2 3 4 2" xfId="12742"/>
    <cellStyle name="Normal 11 2 3 4 2 2" xfId="12743"/>
    <cellStyle name="Normal 11 2 3 4 2 2 2" xfId="12744"/>
    <cellStyle name="Normal 11 2 3 4 2 2 2 2" xfId="12745"/>
    <cellStyle name="Normal 11 2 3 4 2 2 3" xfId="12746"/>
    <cellStyle name="Normal 11 2 3 4 2 3" xfId="12747"/>
    <cellStyle name="Normal 11 2 3 4 2 3 2" xfId="12748"/>
    <cellStyle name="Normal 11 2 3 4 2 4" xfId="12749"/>
    <cellStyle name="Normal 11 2 3 4 3" xfId="12750"/>
    <cellStyle name="Normal 11 2 3 4 3 2" xfId="12751"/>
    <cellStyle name="Normal 11 2 3 4 3 2 2" xfId="12752"/>
    <cellStyle name="Normal 11 2 3 4 3 3" xfId="12753"/>
    <cellStyle name="Normal 11 2 3 4 4" xfId="12754"/>
    <cellStyle name="Normal 11 2 3 4 4 2" xfId="12755"/>
    <cellStyle name="Normal 11 2 3 4 5" xfId="12756"/>
    <cellStyle name="Normal 11 2 3 5" xfId="12757"/>
    <cellStyle name="Normal 11 2 3 5 2" xfId="12758"/>
    <cellStyle name="Normal 11 2 3 5 2 2" xfId="12759"/>
    <cellStyle name="Normal 11 2 3 5 2 2 2" xfId="12760"/>
    <cellStyle name="Normal 11 2 3 5 2 3" xfId="12761"/>
    <cellStyle name="Normal 11 2 3 5 3" xfId="12762"/>
    <cellStyle name="Normal 11 2 3 5 3 2" xfId="12763"/>
    <cellStyle name="Normal 11 2 3 5 4" xfId="12764"/>
    <cellStyle name="Normal 11 2 3 6" xfId="12765"/>
    <cellStyle name="Normal 11 2 3 6 2" xfId="12766"/>
    <cellStyle name="Normal 11 2 3 6 2 2" xfId="12767"/>
    <cellStyle name="Normal 11 2 3 6 3" xfId="12768"/>
    <cellStyle name="Normal 11 2 3 7" xfId="12769"/>
    <cellStyle name="Normal 11 2 3 7 2" xfId="12770"/>
    <cellStyle name="Normal 11 2 3 8" xfId="12771"/>
    <cellStyle name="Normal 11 2 4" xfId="12772"/>
    <cellStyle name="Normal 11 2 4 2" xfId="12773"/>
    <cellStyle name="Normal 11 2 4 2 2" xfId="12774"/>
    <cellStyle name="Normal 11 2 4 2 2 2" xfId="12775"/>
    <cellStyle name="Normal 11 2 4 2 2 2 2" xfId="12776"/>
    <cellStyle name="Normal 11 2 4 2 2 2 2 2" xfId="12777"/>
    <cellStyle name="Normal 11 2 4 2 2 2 2 2 2" xfId="12778"/>
    <cellStyle name="Normal 11 2 4 2 2 2 2 3" xfId="12779"/>
    <cellStyle name="Normal 11 2 4 2 2 2 3" xfId="12780"/>
    <cellStyle name="Normal 11 2 4 2 2 2 3 2" xfId="12781"/>
    <cellStyle name="Normal 11 2 4 2 2 2 4" xfId="12782"/>
    <cellStyle name="Normal 11 2 4 2 2 3" xfId="12783"/>
    <cellStyle name="Normal 11 2 4 2 2 3 2" xfId="12784"/>
    <cellStyle name="Normal 11 2 4 2 2 3 2 2" xfId="12785"/>
    <cellStyle name="Normal 11 2 4 2 2 3 3" xfId="12786"/>
    <cellStyle name="Normal 11 2 4 2 2 4" xfId="12787"/>
    <cellStyle name="Normal 11 2 4 2 2 4 2" xfId="12788"/>
    <cellStyle name="Normal 11 2 4 2 2 5" xfId="12789"/>
    <cellStyle name="Normal 11 2 4 2 3" xfId="12790"/>
    <cellStyle name="Normal 11 2 4 2 3 2" xfId="12791"/>
    <cellStyle name="Normal 11 2 4 2 3 2 2" xfId="12792"/>
    <cellStyle name="Normal 11 2 4 2 3 2 2 2" xfId="12793"/>
    <cellStyle name="Normal 11 2 4 2 3 2 3" xfId="12794"/>
    <cellStyle name="Normal 11 2 4 2 3 3" xfId="12795"/>
    <cellStyle name="Normal 11 2 4 2 3 3 2" xfId="12796"/>
    <cellStyle name="Normal 11 2 4 2 3 4" xfId="12797"/>
    <cellStyle name="Normal 11 2 4 2 4" xfId="12798"/>
    <cellStyle name="Normal 11 2 4 2 4 2" xfId="12799"/>
    <cellStyle name="Normal 11 2 4 2 4 2 2" xfId="12800"/>
    <cellStyle name="Normal 11 2 4 2 4 3" xfId="12801"/>
    <cellStyle name="Normal 11 2 4 2 5" xfId="12802"/>
    <cellStyle name="Normal 11 2 4 2 5 2" xfId="12803"/>
    <cellStyle name="Normal 11 2 4 2 6" xfId="12804"/>
    <cellStyle name="Normal 11 2 4 3" xfId="12805"/>
    <cellStyle name="Normal 11 2 4 3 2" xfId="12806"/>
    <cellStyle name="Normal 11 2 4 3 2 2" xfId="12807"/>
    <cellStyle name="Normal 11 2 4 3 2 2 2" xfId="12808"/>
    <cellStyle name="Normal 11 2 4 3 2 2 2 2" xfId="12809"/>
    <cellStyle name="Normal 11 2 4 3 2 2 3" xfId="12810"/>
    <cellStyle name="Normal 11 2 4 3 2 3" xfId="12811"/>
    <cellStyle name="Normal 11 2 4 3 2 3 2" xfId="12812"/>
    <cellStyle name="Normal 11 2 4 3 2 4" xfId="12813"/>
    <cellStyle name="Normal 11 2 4 3 3" xfId="12814"/>
    <cellStyle name="Normal 11 2 4 3 3 2" xfId="12815"/>
    <cellStyle name="Normal 11 2 4 3 3 2 2" xfId="12816"/>
    <cellStyle name="Normal 11 2 4 3 3 3" xfId="12817"/>
    <cellStyle name="Normal 11 2 4 3 4" xfId="12818"/>
    <cellStyle name="Normal 11 2 4 3 4 2" xfId="12819"/>
    <cellStyle name="Normal 11 2 4 3 5" xfId="12820"/>
    <cellStyle name="Normal 11 2 4 4" xfId="12821"/>
    <cellStyle name="Normal 11 2 4 4 2" xfId="12822"/>
    <cellStyle name="Normal 11 2 4 4 2 2" xfId="12823"/>
    <cellStyle name="Normal 11 2 4 4 2 2 2" xfId="12824"/>
    <cellStyle name="Normal 11 2 4 4 2 3" xfId="12825"/>
    <cellStyle name="Normal 11 2 4 4 3" xfId="12826"/>
    <cellStyle name="Normal 11 2 4 4 3 2" xfId="12827"/>
    <cellStyle name="Normal 11 2 4 4 4" xfId="12828"/>
    <cellStyle name="Normal 11 2 4 5" xfId="12829"/>
    <cellStyle name="Normal 11 2 4 5 2" xfId="12830"/>
    <cellStyle name="Normal 11 2 4 5 2 2" xfId="12831"/>
    <cellStyle name="Normal 11 2 4 5 3" xfId="12832"/>
    <cellStyle name="Normal 11 2 4 6" xfId="12833"/>
    <cellStyle name="Normal 11 2 4 6 2" xfId="12834"/>
    <cellStyle name="Normal 11 2 4 7" xfId="12835"/>
    <cellStyle name="Normal 11 2 5" xfId="12836"/>
    <cellStyle name="Normal 11 2 5 2" xfId="12837"/>
    <cellStyle name="Normal 11 2 5 2 2" xfId="12838"/>
    <cellStyle name="Normal 11 2 5 2 2 2" xfId="12839"/>
    <cellStyle name="Normal 11 2 5 2 2 2 2" xfId="12840"/>
    <cellStyle name="Normal 11 2 5 2 2 2 2 2" xfId="12841"/>
    <cellStyle name="Normal 11 2 5 2 2 2 3" xfId="12842"/>
    <cellStyle name="Normal 11 2 5 2 2 3" xfId="12843"/>
    <cellStyle name="Normal 11 2 5 2 2 3 2" xfId="12844"/>
    <cellStyle name="Normal 11 2 5 2 2 4" xfId="12845"/>
    <cellStyle name="Normal 11 2 5 2 3" xfId="12846"/>
    <cellStyle name="Normal 11 2 5 2 3 2" xfId="12847"/>
    <cellStyle name="Normal 11 2 5 2 3 2 2" xfId="12848"/>
    <cellStyle name="Normal 11 2 5 2 3 3" xfId="12849"/>
    <cellStyle name="Normal 11 2 5 2 4" xfId="12850"/>
    <cellStyle name="Normal 11 2 5 2 4 2" xfId="12851"/>
    <cellStyle name="Normal 11 2 5 2 5" xfId="12852"/>
    <cellStyle name="Normal 11 2 5 3" xfId="12853"/>
    <cellStyle name="Normal 11 2 5 3 2" xfId="12854"/>
    <cellStyle name="Normal 11 2 5 3 2 2" xfId="12855"/>
    <cellStyle name="Normal 11 2 5 3 2 2 2" xfId="12856"/>
    <cellStyle name="Normal 11 2 5 3 2 3" xfId="12857"/>
    <cellStyle name="Normal 11 2 5 3 3" xfId="12858"/>
    <cellStyle name="Normal 11 2 5 3 3 2" xfId="12859"/>
    <cellStyle name="Normal 11 2 5 3 4" xfId="12860"/>
    <cellStyle name="Normal 11 2 5 4" xfId="12861"/>
    <cellStyle name="Normal 11 2 5 4 2" xfId="12862"/>
    <cellStyle name="Normal 11 2 5 4 2 2" xfId="12863"/>
    <cellStyle name="Normal 11 2 5 4 3" xfId="12864"/>
    <cellStyle name="Normal 11 2 5 5" xfId="12865"/>
    <cellStyle name="Normal 11 2 5 5 2" xfId="12866"/>
    <cellStyle name="Normal 11 2 5 6" xfId="12867"/>
    <cellStyle name="Normal 11 2 6" xfId="12868"/>
    <cellStyle name="Normal 11 2 6 2" xfId="12869"/>
    <cellStyle name="Normal 11 2 6 2 2" xfId="12870"/>
    <cellStyle name="Normal 11 2 6 2 2 2" xfId="12871"/>
    <cellStyle name="Normal 11 2 6 2 2 2 2" xfId="12872"/>
    <cellStyle name="Normal 11 2 6 2 2 3" xfId="12873"/>
    <cellStyle name="Normal 11 2 6 2 3" xfId="12874"/>
    <cellStyle name="Normal 11 2 6 2 3 2" xfId="12875"/>
    <cellStyle name="Normal 11 2 6 2 4" xfId="12876"/>
    <cellStyle name="Normal 11 2 6 3" xfId="12877"/>
    <cellStyle name="Normal 11 2 6 3 2" xfId="12878"/>
    <cellStyle name="Normal 11 2 6 3 2 2" xfId="12879"/>
    <cellStyle name="Normal 11 2 6 3 3" xfId="12880"/>
    <cellStyle name="Normal 11 2 6 4" xfId="12881"/>
    <cellStyle name="Normal 11 2 6 4 2" xfId="12882"/>
    <cellStyle name="Normal 11 2 6 5" xfId="12883"/>
    <cellStyle name="Normal 11 2 7" xfId="12884"/>
    <cellStyle name="Normal 11 2 7 2" xfId="12885"/>
    <cellStyle name="Normal 11 2 7 2 2" xfId="12886"/>
    <cellStyle name="Normal 11 2 7 2 2 2" xfId="12887"/>
    <cellStyle name="Normal 11 2 7 2 3" xfId="12888"/>
    <cellStyle name="Normal 11 2 7 3" xfId="12889"/>
    <cellStyle name="Normal 11 2 7 3 2" xfId="12890"/>
    <cellStyle name="Normal 11 2 7 4" xfId="12891"/>
    <cellStyle name="Normal 11 2 8" xfId="12892"/>
    <cellStyle name="Normal 11 2 8 2" xfId="12893"/>
    <cellStyle name="Normal 11 2 8 2 2" xfId="12894"/>
    <cellStyle name="Normal 11 2 8 3" xfId="12895"/>
    <cellStyle name="Normal 11 2 9" xfId="12896"/>
    <cellStyle name="Normal 11 2 9 2" xfId="12897"/>
    <cellStyle name="Normal 11 3" xfId="12898"/>
    <cellStyle name="Normal 11 3 2" xfId="12899"/>
    <cellStyle name="Normal 11 3 2 2" xfId="12900"/>
    <cellStyle name="Normal 11 3 2 2 2" xfId="12901"/>
    <cellStyle name="Normal 11 3 2 2 2 2" xfId="12902"/>
    <cellStyle name="Normal 11 3 2 2 2 2 2" xfId="12903"/>
    <cellStyle name="Normal 11 3 2 2 2 2 2 2" xfId="12904"/>
    <cellStyle name="Normal 11 3 2 2 2 2 2 2 2" xfId="12905"/>
    <cellStyle name="Normal 11 3 2 2 2 2 2 2 2 2" xfId="12906"/>
    <cellStyle name="Normal 11 3 2 2 2 2 2 2 3" xfId="12907"/>
    <cellStyle name="Normal 11 3 2 2 2 2 2 3" xfId="12908"/>
    <cellStyle name="Normal 11 3 2 2 2 2 2 3 2" xfId="12909"/>
    <cellStyle name="Normal 11 3 2 2 2 2 2 4" xfId="12910"/>
    <cellStyle name="Normal 11 3 2 2 2 2 3" xfId="12911"/>
    <cellStyle name="Normal 11 3 2 2 2 2 3 2" xfId="12912"/>
    <cellStyle name="Normal 11 3 2 2 2 2 3 2 2" xfId="12913"/>
    <cellStyle name="Normal 11 3 2 2 2 2 3 3" xfId="12914"/>
    <cellStyle name="Normal 11 3 2 2 2 2 4" xfId="12915"/>
    <cellStyle name="Normal 11 3 2 2 2 2 4 2" xfId="12916"/>
    <cellStyle name="Normal 11 3 2 2 2 2 5" xfId="12917"/>
    <cellStyle name="Normal 11 3 2 2 2 3" xfId="12918"/>
    <cellStyle name="Normal 11 3 2 2 2 3 2" xfId="12919"/>
    <cellStyle name="Normal 11 3 2 2 2 3 2 2" xfId="12920"/>
    <cellStyle name="Normal 11 3 2 2 2 3 2 2 2" xfId="12921"/>
    <cellStyle name="Normal 11 3 2 2 2 3 2 3" xfId="12922"/>
    <cellStyle name="Normal 11 3 2 2 2 3 3" xfId="12923"/>
    <cellStyle name="Normal 11 3 2 2 2 3 3 2" xfId="12924"/>
    <cellStyle name="Normal 11 3 2 2 2 3 4" xfId="12925"/>
    <cellStyle name="Normal 11 3 2 2 2 4" xfId="12926"/>
    <cellStyle name="Normal 11 3 2 2 2 4 2" xfId="12927"/>
    <cellStyle name="Normal 11 3 2 2 2 4 2 2" xfId="12928"/>
    <cellStyle name="Normal 11 3 2 2 2 4 3" xfId="12929"/>
    <cellStyle name="Normal 11 3 2 2 2 5" xfId="12930"/>
    <cellStyle name="Normal 11 3 2 2 2 5 2" xfId="12931"/>
    <cellStyle name="Normal 11 3 2 2 2 6" xfId="12932"/>
    <cellStyle name="Normal 11 3 2 2 3" xfId="12933"/>
    <cellStyle name="Normal 11 3 2 2 3 2" xfId="12934"/>
    <cellStyle name="Normal 11 3 2 2 3 2 2" xfId="12935"/>
    <cellStyle name="Normal 11 3 2 2 3 2 2 2" xfId="12936"/>
    <cellStyle name="Normal 11 3 2 2 3 2 2 2 2" xfId="12937"/>
    <cellStyle name="Normal 11 3 2 2 3 2 2 3" xfId="12938"/>
    <cellStyle name="Normal 11 3 2 2 3 2 3" xfId="12939"/>
    <cellStyle name="Normal 11 3 2 2 3 2 3 2" xfId="12940"/>
    <cellStyle name="Normal 11 3 2 2 3 2 4" xfId="12941"/>
    <cellStyle name="Normal 11 3 2 2 3 3" xfId="12942"/>
    <cellStyle name="Normal 11 3 2 2 3 3 2" xfId="12943"/>
    <cellStyle name="Normal 11 3 2 2 3 3 2 2" xfId="12944"/>
    <cellStyle name="Normal 11 3 2 2 3 3 3" xfId="12945"/>
    <cellStyle name="Normal 11 3 2 2 3 4" xfId="12946"/>
    <cellStyle name="Normal 11 3 2 2 3 4 2" xfId="12947"/>
    <cellStyle name="Normal 11 3 2 2 3 5" xfId="12948"/>
    <cellStyle name="Normal 11 3 2 2 4" xfId="12949"/>
    <cellStyle name="Normal 11 3 2 2 4 2" xfId="12950"/>
    <cellStyle name="Normal 11 3 2 2 4 2 2" xfId="12951"/>
    <cellStyle name="Normal 11 3 2 2 4 2 2 2" xfId="12952"/>
    <cellStyle name="Normal 11 3 2 2 4 2 3" xfId="12953"/>
    <cellStyle name="Normal 11 3 2 2 4 3" xfId="12954"/>
    <cellStyle name="Normal 11 3 2 2 4 3 2" xfId="12955"/>
    <cellStyle name="Normal 11 3 2 2 4 4" xfId="12956"/>
    <cellStyle name="Normal 11 3 2 2 5" xfId="12957"/>
    <cellStyle name="Normal 11 3 2 2 5 2" xfId="12958"/>
    <cellStyle name="Normal 11 3 2 2 5 2 2" xfId="12959"/>
    <cellStyle name="Normal 11 3 2 2 5 3" xfId="12960"/>
    <cellStyle name="Normal 11 3 2 2 6" xfId="12961"/>
    <cellStyle name="Normal 11 3 2 2 6 2" xfId="12962"/>
    <cellStyle name="Normal 11 3 2 2 7" xfId="12963"/>
    <cellStyle name="Normal 11 3 2 3" xfId="12964"/>
    <cellStyle name="Normal 11 3 2 3 2" xfId="12965"/>
    <cellStyle name="Normal 11 3 2 3 2 2" xfId="12966"/>
    <cellStyle name="Normal 11 3 2 3 2 2 2" xfId="12967"/>
    <cellStyle name="Normal 11 3 2 3 2 2 2 2" xfId="12968"/>
    <cellStyle name="Normal 11 3 2 3 2 2 2 2 2" xfId="12969"/>
    <cellStyle name="Normal 11 3 2 3 2 2 2 3" xfId="12970"/>
    <cellStyle name="Normal 11 3 2 3 2 2 3" xfId="12971"/>
    <cellStyle name="Normal 11 3 2 3 2 2 3 2" xfId="12972"/>
    <cellStyle name="Normal 11 3 2 3 2 2 4" xfId="12973"/>
    <cellStyle name="Normal 11 3 2 3 2 3" xfId="12974"/>
    <cellStyle name="Normal 11 3 2 3 2 3 2" xfId="12975"/>
    <cellStyle name="Normal 11 3 2 3 2 3 2 2" xfId="12976"/>
    <cellStyle name="Normal 11 3 2 3 2 3 3" xfId="12977"/>
    <cellStyle name="Normal 11 3 2 3 2 4" xfId="12978"/>
    <cellStyle name="Normal 11 3 2 3 2 4 2" xfId="12979"/>
    <cellStyle name="Normal 11 3 2 3 2 5" xfId="12980"/>
    <cellStyle name="Normal 11 3 2 3 3" xfId="12981"/>
    <cellStyle name="Normal 11 3 2 3 3 2" xfId="12982"/>
    <cellStyle name="Normal 11 3 2 3 3 2 2" xfId="12983"/>
    <cellStyle name="Normal 11 3 2 3 3 2 2 2" xfId="12984"/>
    <cellStyle name="Normal 11 3 2 3 3 2 3" xfId="12985"/>
    <cellStyle name="Normal 11 3 2 3 3 3" xfId="12986"/>
    <cellStyle name="Normal 11 3 2 3 3 3 2" xfId="12987"/>
    <cellStyle name="Normal 11 3 2 3 3 4" xfId="12988"/>
    <cellStyle name="Normal 11 3 2 3 4" xfId="12989"/>
    <cellStyle name="Normal 11 3 2 3 4 2" xfId="12990"/>
    <cellStyle name="Normal 11 3 2 3 4 2 2" xfId="12991"/>
    <cellStyle name="Normal 11 3 2 3 4 3" xfId="12992"/>
    <cellStyle name="Normal 11 3 2 3 5" xfId="12993"/>
    <cellStyle name="Normal 11 3 2 3 5 2" xfId="12994"/>
    <cellStyle name="Normal 11 3 2 3 6" xfId="12995"/>
    <cellStyle name="Normal 11 3 2 4" xfId="12996"/>
    <cellStyle name="Normal 11 3 2 4 2" xfId="12997"/>
    <cellStyle name="Normal 11 3 2 4 2 2" xfId="12998"/>
    <cellStyle name="Normal 11 3 2 4 2 2 2" xfId="12999"/>
    <cellStyle name="Normal 11 3 2 4 2 2 2 2" xfId="13000"/>
    <cellStyle name="Normal 11 3 2 4 2 2 3" xfId="13001"/>
    <cellStyle name="Normal 11 3 2 4 2 3" xfId="13002"/>
    <cellStyle name="Normal 11 3 2 4 2 3 2" xfId="13003"/>
    <cellStyle name="Normal 11 3 2 4 2 4" xfId="13004"/>
    <cellStyle name="Normal 11 3 2 4 3" xfId="13005"/>
    <cellStyle name="Normal 11 3 2 4 3 2" xfId="13006"/>
    <cellStyle name="Normal 11 3 2 4 3 2 2" xfId="13007"/>
    <cellStyle name="Normal 11 3 2 4 3 3" xfId="13008"/>
    <cellStyle name="Normal 11 3 2 4 4" xfId="13009"/>
    <cellStyle name="Normal 11 3 2 4 4 2" xfId="13010"/>
    <cellStyle name="Normal 11 3 2 4 5" xfId="13011"/>
    <cellStyle name="Normal 11 3 2 5" xfId="13012"/>
    <cellStyle name="Normal 11 3 2 5 2" xfId="13013"/>
    <cellStyle name="Normal 11 3 2 5 2 2" xfId="13014"/>
    <cellStyle name="Normal 11 3 2 5 2 2 2" xfId="13015"/>
    <cellStyle name="Normal 11 3 2 5 2 3" xfId="13016"/>
    <cellStyle name="Normal 11 3 2 5 3" xfId="13017"/>
    <cellStyle name="Normal 11 3 2 5 3 2" xfId="13018"/>
    <cellStyle name="Normal 11 3 2 5 4" xfId="13019"/>
    <cellStyle name="Normal 11 3 2 6" xfId="13020"/>
    <cellStyle name="Normal 11 3 2 6 2" xfId="13021"/>
    <cellStyle name="Normal 11 3 2 6 2 2" xfId="13022"/>
    <cellStyle name="Normal 11 3 2 6 3" xfId="13023"/>
    <cellStyle name="Normal 11 3 2 7" xfId="13024"/>
    <cellStyle name="Normal 11 3 2 7 2" xfId="13025"/>
    <cellStyle name="Normal 11 3 2 8" xfId="13026"/>
    <cellStyle name="Normal 11 3 3" xfId="13027"/>
    <cellStyle name="Normal 11 3 3 2" xfId="13028"/>
    <cellStyle name="Normal 11 3 3 2 2" xfId="13029"/>
    <cellStyle name="Normal 11 3 3 2 2 2" xfId="13030"/>
    <cellStyle name="Normal 11 3 3 2 2 2 2" xfId="13031"/>
    <cellStyle name="Normal 11 3 3 2 2 2 2 2" xfId="13032"/>
    <cellStyle name="Normal 11 3 3 2 2 2 2 2 2" xfId="13033"/>
    <cellStyle name="Normal 11 3 3 2 2 2 2 3" xfId="13034"/>
    <cellStyle name="Normal 11 3 3 2 2 2 3" xfId="13035"/>
    <cellStyle name="Normal 11 3 3 2 2 2 3 2" xfId="13036"/>
    <cellStyle name="Normal 11 3 3 2 2 2 4" xfId="13037"/>
    <cellStyle name="Normal 11 3 3 2 2 3" xfId="13038"/>
    <cellStyle name="Normal 11 3 3 2 2 3 2" xfId="13039"/>
    <cellStyle name="Normal 11 3 3 2 2 3 2 2" xfId="13040"/>
    <cellStyle name="Normal 11 3 3 2 2 3 3" xfId="13041"/>
    <cellStyle name="Normal 11 3 3 2 2 4" xfId="13042"/>
    <cellStyle name="Normal 11 3 3 2 2 4 2" xfId="13043"/>
    <cellStyle name="Normal 11 3 3 2 2 5" xfId="13044"/>
    <cellStyle name="Normal 11 3 3 2 3" xfId="13045"/>
    <cellStyle name="Normal 11 3 3 2 3 2" xfId="13046"/>
    <cellStyle name="Normal 11 3 3 2 3 2 2" xfId="13047"/>
    <cellStyle name="Normal 11 3 3 2 3 2 2 2" xfId="13048"/>
    <cellStyle name="Normal 11 3 3 2 3 2 3" xfId="13049"/>
    <cellStyle name="Normal 11 3 3 2 3 3" xfId="13050"/>
    <cellStyle name="Normal 11 3 3 2 3 3 2" xfId="13051"/>
    <cellStyle name="Normal 11 3 3 2 3 4" xfId="13052"/>
    <cellStyle name="Normal 11 3 3 2 4" xfId="13053"/>
    <cellStyle name="Normal 11 3 3 2 4 2" xfId="13054"/>
    <cellStyle name="Normal 11 3 3 2 4 2 2" xfId="13055"/>
    <cellStyle name="Normal 11 3 3 2 4 3" xfId="13056"/>
    <cellStyle name="Normal 11 3 3 2 5" xfId="13057"/>
    <cellStyle name="Normal 11 3 3 2 5 2" xfId="13058"/>
    <cellStyle name="Normal 11 3 3 2 6" xfId="13059"/>
    <cellStyle name="Normal 11 3 3 3" xfId="13060"/>
    <cellStyle name="Normal 11 3 3 3 2" xfId="13061"/>
    <cellStyle name="Normal 11 3 3 3 2 2" xfId="13062"/>
    <cellStyle name="Normal 11 3 3 3 2 2 2" xfId="13063"/>
    <cellStyle name="Normal 11 3 3 3 2 2 2 2" xfId="13064"/>
    <cellStyle name="Normal 11 3 3 3 2 2 3" xfId="13065"/>
    <cellStyle name="Normal 11 3 3 3 2 3" xfId="13066"/>
    <cellStyle name="Normal 11 3 3 3 2 3 2" xfId="13067"/>
    <cellStyle name="Normal 11 3 3 3 2 4" xfId="13068"/>
    <cellStyle name="Normal 11 3 3 3 3" xfId="13069"/>
    <cellStyle name="Normal 11 3 3 3 3 2" xfId="13070"/>
    <cellStyle name="Normal 11 3 3 3 3 2 2" xfId="13071"/>
    <cellStyle name="Normal 11 3 3 3 3 3" xfId="13072"/>
    <cellStyle name="Normal 11 3 3 3 4" xfId="13073"/>
    <cellStyle name="Normal 11 3 3 3 4 2" xfId="13074"/>
    <cellStyle name="Normal 11 3 3 3 5" xfId="13075"/>
    <cellStyle name="Normal 11 3 3 4" xfId="13076"/>
    <cellStyle name="Normal 11 3 3 4 2" xfId="13077"/>
    <cellStyle name="Normal 11 3 3 4 2 2" xfId="13078"/>
    <cellStyle name="Normal 11 3 3 4 2 2 2" xfId="13079"/>
    <cellStyle name="Normal 11 3 3 4 2 3" xfId="13080"/>
    <cellStyle name="Normal 11 3 3 4 3" xfId="13081"/>
    <cellStyle name="Normal 11 3 3 4 3 2" xfId="13082"/>
    <cellStyle name="Normal 11 3 3 4 4" xfId="13083"/>
    <cellStyle name="Normal 11 3 3 5" xfId="13084"/>
    <cellStyle name="Normal 11 3 3 5 2" xfId="13085"/>
    <cellStyle name="Normal 11 3 3 5 2 2" xfId="13086"/>
    <cellStyle name="Normal 11 3 3 5 3" xfId="13087"/>
    <cellStyle name="Normal 11 3 3 6" xfId="13088"/>
    <cellStyle name="Normal 11 3 3 6 2" xfId="13089"/>
    <cellStyle name="Normal 11 3 3 7" xfId="13090"/>
    <cellStyle name="Normal 11 3 4" xfId="13091"/>
    <cellStyle name="Normal 11 3 4 2" xfId="13092"/>
    <cellStyle name="Normal 11 3 4 2 2" xfId="13093"/>
    <cellStyle name="Normal 11 3 4 2 2 2" xfId="13094"/>
    <cellStyle name="Normal 11 3 4 2 2 2 2" xfId="13095"/>
    <cellStyle name="Normal 11 3 4 2 2 2 2 2" xfId="13096"/>
    <cellStyle name="Normal 11 3 4 2 2 2 3" xfId="13097"/>
    <cellStyle name="Normal 11 3 4 2 2 3" xfId="13098"/>
    <cellStyle name="Normal 11 3 4 2 2 3 2" xfId="13099"/>
    <cellStyle name="Normal 11 3 4 2 2 4" xfId="13100"/>
    <cellStyle name="Normal 11 3 4 2 3" xfId="13101"/>
    <cellStyle name="Normal 11 3 4 2 3 2" xfId="13102"/>
    <cellStyle name="Normal 11 3 4 2 3 2 2" xfId="13103"/>
    <cellStyle name="Normal 11 3 4 2 3 3" xfId="13104"/>
    <cellStyle name="Normal 11 3 4 2 4" xfId="13105"/>
    <cellStyle name="Normal 11 3 4 2 4 2" xfId="13106"/>
    <cellStyle name="Normal 11 3 4 2 5" xfId="13107"/>
    <cellStyle name="Normal 11 3 4 3" xfId="13108"/>
    <cellStyle name="Normal 11 3 4 3 2" xfId="13109"/>
    <cellStyle name="Normal 11 3 4 3 2 2" xfId="13110"/>
    <cellStyle name="Normal 11 3 4 3 2 2 2" xfId="13111"/>
    <cellStyle name="Normal 11 3 4 3 2 3" xfId="13112"/>
    <cellStyle name="Normal 11 3 4 3 3" xfId="13113"/>
    <cellStyle name="Normal 11 3 4 3 3 2" xfId="13114"/>
    <cellStyle name="Normal 11 3 4 3 4" xfId="13115"/>
    <cellStyle name="Normal 11 3 4 4" xfId="13116"/>
    <cellStyle name="Normal 11 3 4 4 2" xfId="13117"/>
    <cellStyle name="Normal 11 3 4 4 2 2" xfId="13118"/>
    <cellStyle name="Normal 11 3 4 4 3" xfId="13119"/>
    <cellStyle name="Normal 11 3 4 5" xfId="13120"/>
    <cellStyle name="Normal 11 3 4 5 2" xfId="13121"/>
    <cellStyle name="Normal 11 3 4 6" xfId="13122"/>
    <cellStyle name="Normal 11 3 5" xfId="13123"/>
    <cellStyle name="Normal 11 3 5 2" xfId="13124"/>
    <cellStyle name="Normal 11 3 5 2 2" xfId="13125"/>
    <cellStyle name="Normal 11 3 5 2 2 2" xfId="13126"/>
    <cellStyle name="Normal 11 3 5 2 2 2 2" xfId="13127"/>
    <cellStyle name="Normal 11 3 5 2 2 3" xfId="13128"/>
    <cellStyle name="Normal 11 3 5 2 3" xfId="13129"/>
    <cellStyle name="Normal 11 3 5 2 3 2" xfId="13130"/>
    <cellStyle name="Normal 11 3 5 2 4" xfId="13131"/>
    <cellStyle name="Normal 11 3 5 3" xfId="13132"/>
    <cellStyle name="Normal 11 3 5 3 2" xfId="13133"/>
    <cellStyle name="Normal 11 3 5 3 2 2" xfId="13134"/>
    <cellStyle name="Normal 11 3 5 3 3" xfId="13135"/>
    <cellStyle name="Normal 11 3 5 4" xfId="13136"/>
    <cellStyle name="Normal 11 3 5 4 2" xfId="13137"/>
    <cellStyle name="Normal 11 3 5 5" xfId="13138"/>
    <cellStyle name="Normal 11 3 6" xfId="13139"/>
    <cellStyle name="Normal 11 3 6 2" xfId="13140"/>
    <cellStyle name="Normal 11 3 6 2 2" xfId="13141"/>
    <cellStyle name="Normal 11 3 6 2 2 2" xfId="13142"/>
    <cellStyle name="Normal 11 3 6 2 3" xfId="13143"/>
    <cellStyle name="Normal 11 3 6 3" xfId="13144"/>
    <cellStyle name="Normal 11 3 6 3 2" xfId="13145"/>
    <cellStyle name="Normal 11 3 6 4" xfId="13146"/>
    <cellStyle name="Normal 11 3 7" xfId="13147"/>
    <cellStyle name="Normal 11 3 7 2" xfId="13148"/>
    <cellStyle name="Normal 11 3 7 2 2" xfId="13149"/>
    <cellStyle name="Normal 11 3 7 3" xfId="13150"/>
    <cellStyle name="Normal 11 3 8" xfId="13151"/>
    <cellStyle name="Normal 11 3 8 2" xfId="13152"/>
    <cellStyle name="Normal 11 3 9" xfId="13153"/>
    <cellStyle name="Normal 11 4" xfId="13154"/>
    <cellStyle name="Normal 11 4 2" xfId="13155"/>
    <cellStyle name="Normal 11 4 2 2" xfId="13156"/>
    <cellStyle name="Normal 11 4 2 2 2" xfId="13157"/>
    <cellStyle name="Normal 11 4 2 2 2 2" xfId="13158"/>
    <cellStyle name="Normal 11 4 2 2 2 2 2" xfId="13159"/>
    <cellStyle name="Normal 11 4 2 2 2 2 2 2" xfId="13160"/>
    <cellStyle name="Normal 11 4 2 2 2 2 2 2 2" xfId="13161"/>
    <cellStyle name="Normal 11 4 2 2 2 2 2 3" xfId="13162"/>
    <cellStyle name="Normal 11 4 2 2 2 2 3" xfId="13163"/>
    <cellStyle name="Normal 11 4 2 2 2 2 3 2" xfId="13164"/>
    <cellStyle name="Normal 11 4 2 2 2 2 4" xfId="13165"/>
    <cellStyle name="Normal 11 4 2 2 2 3" xfId="13166"/>
    <cellStyle name="Normal 11 4 2 2 2 3 2" xfId="13167"/>
    <cellStyle name="Normal 11 4 2 2 2 3 2 2" xfId="13168"/>
    <cellStyle name="Normal 11 4 2 2 2 3 3" xfId="13169"/>
    <cellStyle name="Normal 11 4 2 2 2 4" xfId="13170"/>
    <cellStyle name="Normal 11 4 2 2 2 4 2" xfId="13171"/>
    <cellStyle name="Normal 11 4 2 2 2 5" xfId="13172"/>
    <cellStyle name="Normal 11 4 2 2 3" xfId="13173"/>
    <cellStyle name="Normal 11 4 2 2 3 2" xfId="13174"/>
    <cellStyle name="Normal 11 4 2 2 3 2 2" xfId="13175"/>
    <cellStyle name="Normal 11 4 2 2 3 2 2 2" xfId="13176"/>
    <cellStyle name="Normal 11 4 2 2 3 2 3" xfId="13177"/>
    <cellStyle name="Normal 11 4 2 2 3 3" xfId="13178"/>
    <cellStyle name="Normal 11 4 2 2 3 3 2" xfId="13179"/>
    <cellStyle name="Normal 11 4 2 2 3 4" xfId="13180"/>
    <cellStyle name="Normal 11 4 2 2 4" xfId="13181"/>
    <cellStyle name="Normal 11 4 2 2 4 2" xfId="13182"/>
    <cellStyle name="Normal 11 4 2 2 4 2 2" xfId="13183"/>
    <cellStyle name="Normal 11 4 2 2 4 3" xfId="13184"/>
    <cellStyle name="Normal 11 4 2 2 5" xfId="13185"/>
    <cellStyle name="Normal 11 4 2 2 5 2" xfId="13186"/>
    <cellStyle name="Normal 11 4 2 2 6" xfId="13187"/>
    <cellStyle name="Normal 11 4 2 3" xfId="13188"/>
    <cellStyle name="Normal 11 4 2 3 2" xfId="13189"/>
    <cellStyle name="Normal 11 4 2 3 2 2" xfId="13190"/>
    <cellStyle name="Normal 11 4 2 3 2 2 2" xfId="13191"/>
    <cellStyle name="Normal 11 4 2 3 2 2 2 2" xfId="13192"/>
    <cellStyle name="Normal 11 4 2 3 2 2 3" xfId="13193"/>
    <cellStyle name="Normal 11 4 2 3 2 3" xfId="13194"/>
    <cellStyle name="Normal 11 4 2 3 2 3 2" xfId="13195"/>
    <cellStyle name="Normal 11 4 2 3 2 4" xfId="13196"/>
    <cellStyle name="Normal 11 4 2 3 3" xfId="13197"/>
    <cellStyle name="Normal 11 4 2 3 3 2" xfId="13198"/>
    <cellStyle name="Normal 11 4 2 3 3 2 2" xfId="13199"/>
    <cellStyle name="Normal 11 4 2 3 3 3" xfId="13200"/>
    <cellStyle name="Normal 11 4 2 3 4" xfId="13201"/>
    <cellStyle name="Normal 11 4 2 3 4 2" xfId="13202"/>
    <cellStyle name="Normal 11 4 2 3 5" xfId="13203"/>
    <cellStyle name="Normal 11 4 2 4" xfId="13204"/>
    <cellStyle name="Normal 11 4 2 4 2" xfId="13205"/>
    <cellStyle name="Normal 11 4 2 4 2 2" xfId="13206"/>
    <cellStyle name="Normal 11 4 2 4 2 2 2" xfId="13207"/>
    <cellStyle name="Normal 11 4 2 4 2 3" xfId="13208"/>
    <cellStyle name="Normal 11 4 2 4 3" xfId="13209"/>
    <cellStyle name="Normal 11 4 2 4 3 2" xfId="13210"/>
    <cellStyle name="Normal 11 4 2 4 4" xfId="13211"/>
    <cellStyle name="Normal 11 4 2 5" xfId="13212"/>
    <cellStyle name="Normal 11 4 2 5 2" xfId="13213"/>
    <cellStyle name="Normal 11 4 2 5 2 2" xfId="13214"/>
    <cellStyle name="Normal 11 4 2 5 3" xfId="13215"/>
    <cellStyle name="Normal 11 4 2 6" xfId="13216"/>
    <cellStyle name="Normal 11 4 2 6 2" xfId="13217"/>
    <cellStyle name="Normal 11 4 2 7" xfId="13218"/>
    <cellStyle name="Normal 11 4 3" xfId="13219"/>
    <cellStyle name="Normal 11 4 3 2" xfId="13220"/>
    <cellStyle name="Normal 11 4 3 2 2" xfId="13221"/>
    <cellStyle name="Normal 11 4 3 2 2 2" xfId="13222"/>
    <cellStyle name="Normal 11 4 3 2 2 2 2" xfId="13223"/>
    <cellStyle name="Normal 11 4 3 2 2 2 2 2" xfId="13224"/>
    <cellStyle name="Normal 11 4 3 2 2 2 3" xfId="13225"/>
    <cellStyle name="Normal 11 4 3 2 2 3" xfId="13226"/>
    <cellStyle name="Normal 11 4 3 2 2 3 2" xfId="13227"/>
    <cellStyle name="Normal 11 4 3 2 2 4" xfId="13228"/>
    <cellStyle name="Normal 11 4 3 2 3" xfId="13229"/>
    <cellStyle name="Normal 11 4 3 2 3 2" xfId="13230"/>
    <cellStyle name="Normal 11 4 3 2 3 2 2" xfId="13231"/>
    <cellStyle name="Normal 11 4 3 2 3 3" xfId="13232"/>
    <cellStyle name="Normal 11 4 3 2 4" xfId="13233"/>
    <cellStyle name="Normal 11 4 3 2 4 2" xfId="13234"/>
    <cellStyle name="Normal 11 4 3 2 5" xfId="13235"/>
    <cellStyle name="Normal 11 4 3 3" xfId="13236"/>
    <cellStyle name="Normal 11 4 3 3 2" xfId="13237"/>
    <cellStyle name="Normal 11 4 3 3 2 2" xfId="13238"/>
    <cellStyle name="Normal 11 4 3 3 2 2 2" xfId="13239"/>
    <cellStyle name="Normal 11 4 3 3 2 3" xfId="13240"/>
    <cellStyle name="Normal 11 4 3 3 3" xfId="13241"/>
    <cellStyle name="Normal 11 4 3 3 3 2" xfId="13242"/>
    <cellStyle name="Normal 11 4 3 3 4" xfId="13243"/>
    <cellStyle name="Normal 11 4 3 4" xfId="13244"/>
    <cellStyle name="Normal 11 4 3 4 2" xfId="13245"/>
    <cellStyle name="Normal 11 4 3 4 2 2" xfId="13246"/>
    <cellStyle name="Normal 11 4 3 4 3" xfId="13247"/>
    <cellStyle name="Normal 11 4 3 5" xfId="13248"/>
    <cellStyle name="Normal 11 4 3 5 2" xfId="13249"/>
    <cellStyle name="Normal 11 4 3 6" xfId="13250"/>
    <cellStyle name="Normal 11 4 4" xfId="13251"/>
    <cellStyle name="Normal 11 4 4 2" xfId="13252"/>
    <cellStyle name="Normal 11 4 4 2 2" xfId="13253"/>
    <cellStyle name="Normal 11 4 4 2 2 2" xfId="13254"/>
    <cellStyle name="Normal 11 4 4 2 2 2 2" xfId="13255"/>
    <cellStyle name="Normal 11 4 4 2 2 3" xfId="13256"/>
    <cellStyle name="Normal 11 4 4 2 3" xfId="13257"/>
    <cellStyle name="Normal 11 4 4 2 3 2" xfId="13258"/>
    <cellStyle name="Normal 11 4 4 2 4" xfId="13259"/>
    <cellStyle name="Normal 11 4 4 3" xfId="13260"/>
    <cellStyle name="Normal 11 4 4 3 2" xfId="13261"/>
    <cellStyle name="Normal 11 4 4 3 2 2" xfId="13262"/>
    <cellStyle name="Normal 11 4 4 3 3" xfId="13263"/>
    <cellStyle name="Normal 11 4 4 4" xfId="13264"/>
    <cellStyle name="Normal 11 4 4 4 2" xfId="13265"/>
    <cellStyle name="Normal 11 4 4 5" xfId="13266"/>
    <cellStyle name="Normal 11 4 5" xfId="13267"/>
    <cellStyle name="Normal 11 4 5 2" xfId="13268"/>
    <cellStyle name="Normal 11 4 5 2 2" xfId="13269"/>
    <cellStyle name="Normal 11 4 5 2 2 2" xfId="13270"/>
    <cellStyle name="Normal 11 4 5 2 3" xfId="13271"/>
    <cellStyle name="Normal 11 4 5 3" xfId="13272"/>
    <cellStyle name="Normal 11 4 5 3 2" xfId="13273"/>
    <cellStyle name="Normal 11 4 5 4" xfId="13274"/>
    <cellStyle name="Normal 11 4 6" xfId="13275"/>
    <cellStyle name="Normal 11 4 6 2" xfId="13276"/>
    <cellStyle name="Normal 11 4 6 2 2" xfId="13277"/>
    <cellStyle name="Normal 11 4 6 3" xfId="13278"/>
    <cellStyle name="Normal 11 4 7" xfId="13279"/>
    <cellStyle name="Normal 11 4 7 2" xfId="13280"/>
    <cellStyle name="Normal 11 4 8" xfId="13281"/>
    <cellStyle name="Normal 11 5" xfId="13282"/>
    <cellStyle name="Normal 11 5 2" xfId="13283"/>
    <cellStyle name="Normal 11 5 2 2" xfId="13284"/>
    <cellStyle name="Normal 11 5 2 2 2" xfId="13285"/>
    <cellStyle name="Normal 11 5 2 2 2 2" xfId="13286"/>
    <cellStyle name="Normal 11 5 2 2 2 2 2" xfId="13287"/>
    <cellStyle name="Normal 11 5 2 2 2 2 2 2" xfId="13288"/>
    <cellStyle name="Normal 11 5 2 2 2 2 3" xfId="13289"/>
    <cellStyle name="Normal 11 5 2 2 2 3" xfId="13290"/>
    <cellStyle name="Normal 11 5 2 2 2 3 2" xfId="13291"/>
    <cellStyle name="Normal 11 5 2 2 2 4" xfId="13292"/>
    <cellStyle name="Normal 11 5 2 2 3" xfId="13293"/>
    <cellStyle name="Normal 11 5 2 2 3 2" xfId="13294"/>
    <cellStyle name="Normal 11 5 2 2 3 2 2" xfId="13295"/>
    <cellStyle name="Normal 11 5 2 2 3 3" xfId="13296"/>
    <cellStyle name="Normal 11 5 2 2 4" xfId="13297"/>
    <cellStyle name="Normal 11 5 2 2 4 2" xfId="13298"/>
    <cellStyle name="Normal 11 5 2 2 5" xfId="13299"/>
    <cellStyle name="Normal 11 5 2 3" xfId="13300"/>
    <cellStyle name="Normal 11 5 2 3 2" xfId="13301"/>
    <cellStyle name="Normal 11 5 2 3 2 2" xfId="13302"/>
    <cellStyle name="Normal 11 5 2 3 2 2 2" xfId="13303"/>
    <cellStyle name="Normal 11 5 2 3 2 3" xfId="13304"/>
    <cellStyle name="Normal 11 5 2 3 3" xfId="13305"/>
    <cellStyle name="Normal 11 5 2 3 3 2" xfId="13306"/>
    <cellStyle name="Normal 11 5 2 3 4" xfId="13307"/>
    <cellStyle name="Normal 11 5 2 4" xfId="13308"/>
    <cellStyle name="Normal 11 5 2 4 2" xfId="13309"/>
    <cellStyle name="Normal 11 5 2 4 2 2" xfId="13310"/>
    <cellStyle name="Normal 11 5 2 4 3" xfId="13311"/>
    <cellStyle name="Normal 11 5 2 5" xfId="13312"/>
    <cellStyle name="Normal 11 5 2 5 2" xfId="13313"/>
    <cellStyle name="Normal 11 5 2 6" xfId="13314"/>
    <cellStyle name="Normal 11 5 3" xfId="13315"/>
    <cellStyle name="Normal 11 5 3 2" xfId="13316"/>
    <cellStyle name="Normal 11 5 3 2 2" xfId="13317"/>
    <cellStyle name="Normal 11 5 3 2 2 2" xfId="13318"/>
    <cellStyle name="Normal 11 5 3 2 2 2 2" xfId="13319"/>
    <cellStyle name="Normal 11 5 3 2 2 3" xfId="13320"/>
    <cellStyle name="Normal 11 5 3 2 3" xfId="13321"/>
    <cellStyle name="Normal 11 5 3 2 3 2" xfId="13322"/>
    <cellStyle name="Normal 11 5 3 2 4" xfId="13323"/>
    <cellStyle name="Normal 11 5 3 3" xfId="13324"/>
    <cellStyle name="Normal 11 5 3 3 2" xfId="13325"/>
    <cellStyle name="Normal 11 5 3 3 2 2" xfId="13326"/>
    <cellStyle name="Normal 11 5 3 3 3" xfId="13327"/>
    <cellStyle name="Normal 11 5 3 4" xfId="13328"/>
    <cellStyle name="Normal 11 5 3 4 2" xfId="13329"/>
    <cellStyle name="Normal 11 5 3 5" xfId="13330"/>
    <cellStyle name="Normal 11 5 4" xfId="13331"/>
    <cellStyle name="Normal 11 5 4 2" xfId="13332"/>
    <cellStyle name="Normal 11 5 4 2 2" xfId="13333"/>
    <cellStyle name="Normal 11 5 4 2 2 2" xfId="13334"/>
    <cellStyle name="Normal 11 5 4 2 3" xfId="13335"/>
    <cellStyle name="Normal 11 5 4 3" xfId="13336"/>
    <cellStyle name="Normal 11 5 4 3 2" xfId="13337"/>
    <cellStyle name="Normal 11 5 4 4" xfId="13338"/>
    <cellStyle name="Normal 11 5 5" xfId="13339"/>
    <cellStyle name="Normal 11 5 5 2" xfId="13340"/>
    <cellStyle name="Normal 11 5 5 2 2" xfId="13341"/>
    <cellStyle name="Normal 11 5 5 3" xfId="13342"/>
    <cellStyle name="Normal 11 5 6" xfId="13343"/>
    <cellStyle name="Normal 11 5 6 2" xfId="13344"/>
    <cellStyle name="Normal 11 5 7" xfId="13345"/>
    <cellStyle name="Normal 11 6" xfId="13346"/>
    <cellStyle name="Normal 11 6 2" xfId="13347"/>
    <cellStyle name="Normal 11 6 2 2" xfId="13348"/>
    <cellStyle name="Normal 11 6 2 2 2" xfId="13349"/>
    <cellStyle name="Normal 11 6 2 2 2 2" xfId="13350"/>
    <cellStyle name="Normal 11 6 2 2 2 2 2" xfId="13351"/>
    <cellStyle name="Normal 11 6 2 2 2 3" xfId="13352"/>
    <cellStyle name="Normal 11 6 2 2 3" xfId="13353"/>
    <cellStyle name="Normal 11 6 2 2 3 2" xfId="13354"/>
    <cellStyle name="Normal 11 6 2 2 4" xfId="13355"/>
    <cellStyle name="Normal 11 6 2 3" xfId="13356"/>
    <cellStyle name="Normal 11 6 2 3 2" xfId="13357"/>
    <cellStyle name="Normal 11 6 2 3 2 2" xfId="13358"/>
    <cellStyle name="Normal 11 6 2 3 3" xfId="13359"/>
    <cellStyle name="Normal 11 6 2 4" xfId="13360"/>
    <cellStyle name="Normal 11 6 2 4 2" xfId="13361"/>
    <cellStyle name="Normal 11 6 2 5" xfId="13362"/>
    <cellStyle name="Normal 11 6 3" xfId="13363"/>
    <cellStyle name="Normal 11 6 3 2" xfId="13364"/>
    <cellStyle name="Normal 11 6 3 2 2" xfId="13365"/>
    <cellStyle name="Normal 11 6 3 2 2 2" xfId="13366"/>
    <cellStyle name="Normal 11 6 3 2 3" xfId="13367"/>
    <cellStyle name="Normal 11 6 3 3" xfId="13368"/>
    <cellStyle name="Normal 11 6 3 3 2" xfId="13369"/>
    <cellStyle name="Normal 11 6 3 4" xfId="13370"/>
    <cellStyle name="Normal 11 6 4" xfId="13371"/>
    <cellStyle name="Normal 11 6 4 2" xfId="13372"/>
    <cellStyle name="Normal 11 6 4 2 2" xfId="13373"/>
    <cellStyle name="Normal 11 6 4 3" xfId="13374"/>
    <cellStyle name="Normal 11 6 5" xfId="13375"/>
    <cellStyle name="Normal 11 6 5 2" xfId="13376"/>
    <cellStyle name="Normal 11 6 6" xfId="13377"/>
    <cellStyle name="Normal 11 7" xfId="13378"/>
    <cellStyle name="Normal 11 7 2" xfId="13379"/>
    <cellStyle name="Normal 11 7 2 2" xfId="13380"/>
    <cellStyle name="Normal 11 7 2 2 2" xfId="13381"/>
    <cellStyle name="Normal 11 7 2 2 2 2" xfId="13382"/>
    <cellStyle name="Normal 11 7 2 2 3" xfId="13383"/>
    <cellStyle name="Normal 11 7 2 3" xfId="13384"/>
    <cellStyle name="Normal 11 7 2 3 2" xfId="13385"/>
    <cellStyle name="Normal 11 7 2 4" xfId="13386"/>
    <cellStyle name="Normal 11 7 3" xfId="13387"/>
    <cellStyle name="Normal 11 7 3 2" xfId="13388"/>
    <cellStyle name="Normal 11 7 3 2 2" xfId="13389"/>
    <cellStyle name="Normal 11 7 3 3" xfId="13390"/>
    <cellStyle name="Normal 11 7 4" xfId="13391"/>
    <cellStyle name="Normal 11 7 4 2" xfId="13392"/>
    <cellStyle name="Normal 11 7 5" xfId="13393"/>
    <cellStyle name="Normal 11 8" xfId="13394"/>
    <cellStyle name="Normal 11 8 2" xfId="13395"/>
    <cellStyle name="Normal 11 8 2 2" xfId="13396"/>
    <cellStyle name="Normal 11 8 2 2 2" xfId="13397"/>
    <cellStyle name="Normal 11 8 2 3" xfId="13398"/>
    <cellStyle name="Normal 11 8 3" xfId="13399"/>
    <cellStyle name="Normal 11 8 3 2" xfId="13400"/>
    <cellStyle name="Normal 11 8 4" xfId="13401"/>
    <cellStyle name="Normal 11 9" xfId="13402"/>
    <cellStyle name="Normal 11 9 2" xfId="13403"/>
    <cellStyle name="Normal 11 9 2 2" xfId="13404"/>
    <cellStyle name="Normal 11 9 3" xfId="13405"/>
    <cellStyle name="Normal 12" xfId="13406"/>
    <cellStyle name="Normal 12 2" xfId="13407"/>
    <cellStyle name="Normal 12 2 2" xfId="13408"/>
    <cellStyle name="Normal 12 2 3" xfId="18809"/>
    <cellStyle name="Normal 12 3" xfId="13409"/>
    <cellStyle name="Normal 12 3 2" xfId="18782"/>
    <cellStyle name="Normal 12 4" xfId="18703"/>
    <cellStyle name="Normal 13" xfId="13410"/>
    <cellStyle name="Normal 13 10" xfId="13411"/>
    <cellStyle name="Normal 13 2" xfId="13412"/>
    <cellStyle name="Normal 13 2 2" xfId="13413"/>
    <cellStyle name="Normal 13 2 2 2" xfId="13414"/>
    <cellStyle name="Normal 13 2 2 2 2" xfId="13415"/>
    <cellStyle name="Normal 13 2 2 2 2 2" xfId="13416"/>
    <cellStyle name="Normal 13 2 2 2 2 2 2" xfId="13417"/>
    <cellStyle name="Normal 13 2 2 2 2 2 2 2" xfId="13418"/>
    <cellStyle name="Normal 13 2 2 2 2 2 2 2 2" xfId="13419"/>
    <cellStyle name="Normal 13 2 2 2 2 2 2 2 2 2" xfId="13420"/>
    <cellStyle name="Normal 13 2 2 2 2 2 2 2 3" xfId="13421"/>
    <cellStyle name="Normal 13 2 2 2 2 2 2 3" xfId="13422"/>
    <cellStyle name="Normal 13 2 2 2 2 2 2 3 2" xfId="13423"/>
    <cellStyle name="Normal 13 2 2 2 2 2 2 4" xfId="13424"/>
    <cellStyle name="Normal 13 2 2 2 2 2 3" xfId="13425"/>
    <cellStyle name="Normal 13 2 2 2 2 2 3 2" xfId="13426"/>
    <cellStyle name="Normal 13 2 2 2 2 2 3 2 2" xfId="13427"/>
    <cellStyle name="Normal 13 2 2 2 2 2 3 3" xfId="13428"/>
    <cellStyle name="Normal 13 2 2 2 2 2 4" xfId="13429"/>
    <cellStyle name="Normal 13 2 2 2 2 2 4 2" xfId="13430"/>
    <cellStyle name="Normal 13 2 2 2 2 2 5" xfId="13431"/>
    <cellStyle name="Normal 13 2 2 2 2 3" xfId="13432"/>
    <cellStyle name="Normal 13 2 2 2 2 3 2" xfId="13433"/>
    <cellStyle name="Normal 13 2 2 2 2 3 2 2" xfId="13434"/>
    <cellStyle name="Normal 13 2 2 2 2 3 2 2 2" xfId="13435"/>
    <cellStyle name="Normal 13 2 2 2 2 3 2 3" xfId="13436"/>
    <cellStyle name="Normal 13 2 2 2 2 3 3" xfId="13437"/>
    <cellStyle name="Normal 13 2 2 2 2 3 3 2" xfId="13438"/>
    <cellStyle name="Normal 13 2 2 2 2 3 4" xfId="13439"/>
    <cellStyle name="Normal 13 2 2 2 2 4" xfId="13440"/>
    <cellStyle name="Normal 13 2 2 2 2 4 2" xfId="13441"/>
    <cellStyle name="Normal 13 2 2 2 2 4 2 2" xfId="13442"/>
    <cellStyle name="Normal 13 2 2 2 2 4 3" xfId="13443"/>
    <cellStyle name="Normal 13 2 2 2 2 5" xfId="13444"/>
    <cellStyle name="Normal 13 2 2 2 2 5 2" xfId="13445"/>
    <cellStyle name="Normal 13 2 2 2 2 6" xfId="13446"/>
    <cellStyle name="Normal 13 2 2 2 3" xfId="13447"/>
    <cellStyle name="Normal 13 2 2 2 3 2" xfId="13448"/>
    <cellStyle name="Normal 13 2 2 2 3 2 2" xfId="13449"/>
    <cellStyle name="Normal 13 2 2 2 3 2 2 2" xfId="13450"/>
    <cellStyle name="Normal 13 2 2 2 3 2 2 2 2" xfId="13451"/>
    <cellStyle name="Normal 13 2 2 2 3 2 2 3" xfId="13452"/>
    <cellStyle name="Normal 13 2 2 2 3 2 3" xfId="13453"/>
    <cellStyle name="Normal 13 2 2 2 3 2 3 2" xfId="13454"/>
    <cellStyle name="Normal 13 2 2 2 3 2 4" xfId="13455"/>
    <cellStyle name="Normal 13 2 2 2 3 3" xfId="13456"/>
    <cellStyle name="Normal 13 2 2 2 3 3 2" xfId="13457"/>
    <cellStyle name="Normal 13 2 2 2 3 3 2 2" xfId="13458"/>
    <cellStyle name="Normal 13 2 2 2 3 3 3" xfId="13459"/>
    <cellStyle name="Normal 13 2 2 2 3 4" xfId="13460"/>
    <cellStyle name="Normal 13 2 2 2 3 4 2" xfId="13461"/>
    <cellStyle name="Normal 13 2 2 2 3 5" xfId="13462"/>
    <cellStyle name="Normal 13 2 2 2 4" xfId="13463"/>
    <cellStyle name="Normal 13 2 2 2 4 2" xfId="13464"/>
    <cellStyle name="Normal 13 2 2 2 4 2 2" xfId="13465"/>
    <cellStyle name="Normal 13 2 2 2 4 2 2 2" xfId="13466"/>
    <cellStyle name="Normal 13 2 2 2 4 2 3" xfId="13467"/>
    <cellStyle name="Normal 13 2 2 2 4 3" xfId="13468"/>
    <cellStyle name="Normal 13 2 2 2 4 3 2" xfId="13469"/>
    <cellStyle name="Normal 13 2 2 2 4 4" xfId="13470"/>
    <cellStyle name="Normal 13 2 2 2 5" xfId="13471"/>
    <cellStyle name="Normal 13 2 2 2 5 2" xfId="13472"/>
    <cellStyle name="Normal 13 2 2 2 5 2 2" xfId="13473"/>
    <cellStyle name="Normal 13 2 2 2 5 3" xfId="13474"/>
    <cellStyle name="Normal 13 2 2 2 6" xfId="13475"/>
    <cellStyle name="Normal 13 2 2 2 6 2" xfId="13476"/>
    <cellStyle name="Normal 13 2 2 2 7" xfId="13477"/>
    <cellStyle name="Normal 13 2 2 3" xfId="13478"/>
    <cellStyle name="Normal 13 2 2 3 2" xfId="13479"/>
    <cellStyle name="Normal 13 2 2 3 2 2" xfId="13480"/>
    <cellStyle name="Normal 13 2 2 3 2 2 2" xfId="13481"/>
    <cellStyle name="Normal 13 2 2 3 2 2 2 2" xfId="13482"/>
    <cellStyle name="Normal 13 2 2 3 2 2 2 2 2" xfId="13483"/>
    <cellStyle name="Normal 13 2 2 3 2 2 2 3" xfId="13484"/>
    <cellStyle name="Normal 13 2 2 3 2 2 3" xfId="13485"/>
    <cellStyle name="Normal 13 2 2 3 2 2 3 2" xfId="13486"/>
    <cellStyle name="Normal 13 2 2 3 2 2 4" xfId="13487"/>
    <cellStyle name="Normal 13 2 2 3 2 3" xfId="13488"/>
    <cellStyle name="Normal 13 2 2 3 2 3 2" xfId="13489"/>
    <cellStyle name="Normal 13 2 2 3 2 3 2 2" xfId="13490"/>
    <cellStyle name="Normal 13 2 2 3 2 3 3" xfId="13491"/>
    <cellStyle name="Normal 13 2 2 3 2 4" xfId="13492"/>
    <cellStyle name="Normal 13 2 2 3 2 4 2" xfId="13493"/>
    <cellStyle name="Normal 13 2 2 3 2 5" xfId="13494"/>
    <cellStyle name="Normal 13 2 2 3 3" xfId="13495"/>
    <cellStyle name="Normal 13 2 2 3 3 2" xfId="13496"/>
    <cellStyle name="Normal 13 2 2 3 3 2 2" xfId="13497"/>
    <cellStyle name="Normal 13 2 2 3 3 2 2 2" xfId="13498"/>
    <cellStyle name="Normal 13 2 2 3 3 2 3" xfId="13499"/>
    <cellStyle name="Normal 13 2 2 3 3 3" xfId="13500"/>
    <cellStyle name="Normal 13 2 2 3 3 3 2" xfId="13501"/>
    <cellStyle name="Normal 13 2 2 3 3 4" xfId="13502"/>
    <cellStyle name="Normal 13 2 2 3 4" xfId="13503"/>
    <cellStyle name="Normal 13 2 2 3 4 2" xfId="13504"/>
    <cellStyle name="Normal 13 2 2 3 4 2 2" xfId="13505"/>
    <cellStyle name="Normal 13 2 2 3 4 3" xfId="13506"/>
    <cellStyle name="Normal 13 2 2 3 5" xfId="13507"/>
    <cellStyle name="Normal 13 2 2 3 5 2" xfId="13508"/>
    <cellStyle name="Normal 13 2 2 3 6" xfId="13509"/>
    <cellStyle name="Normal 13 2 2 4" xfId="13510"/>
    <cellStyle name="Normal 13 2 2 4 2" xfId="13511"/>
    <cellStyle name="Normal 13 2 2 4 2 2" xfId="13512"/>
    <cellStyle name="Normal 13 2 2 4 2 2 2" xfId="13513"/>
    <cellStyle name="Normal 13 2 2 4 2 2 2 2" xfId="13514"/>
    <cellStyle name="Normal 13 2 2 4 2 2 3" xfId="13515"/>
    <cellStyle name="Normal 13 2 2 4 2 3" xfId="13516"/>
    <cellStyle name="Normal 13 2 2 4 2 3 2" xfId="13517"/>
    <cellStyle name="Normal 13 2 2 4 2 4" xfId="13518"/>
    <cellStyle name="Normal 13 2 2 4 3" xfId="13519"/>
    <cellStyle name="Normal 13 2 2 4 3 2" xfId="13520"/>
    <cellStyle name="Normal 13 2 2 4 3 2 2" xfId="13521"/>
    <cellStyle name="Normal 13 2 2 4 3 3" xfId="13522"/>
    <cellStyle name="Normal 13 2 2 4 4" xfId="13523"/>
    <cellStyle name="Normal 13 2 2 4 4 2" xfId="13524"/>
    <cellStyle name="Normal 13 2 2 4 5" xfId="13525"/>
    <cellStyle name="Normal 13 2 2 5" xfId="13526"/>
    <cellStyle name="Normal 13 2 2 5 2" xfId="13527"/>
    <cellStyle name="Normal 13 2 2 5 2 2" xfId="13528"/>
    <cellStyle name="Normal 13 2 2 5 2 2 2" xfId="13529"/>
    <cellStyle name="Normal 13 2 2 5 2 3" xfId="13530"/>
    <cellStyle name="Normal 13 2 2 5 3" xfId="13531"/>
    <cellStyle name="Normal 13 2 2 5 3 2" xfId="13532"/>
    <cellStyle name="Normal 13 2 2 5 4" xfId="13533"/>
    <cellStyle name="Normal 13 2 2 6" xfId="13534"/>
    <cellStyle name="Normal 13 2 2 6 2" xfId="13535"/>
    <cellStyle name="Normal 13 2 2 6 2 2" xfId="13536"/>
    <cellStyle name="Normal 13 2 2 6 3" xfId="13537"/>
    <cellStyle name="Normal 13 2 2 7" xfId="13538"/>
    <cellStyle name="Normal 13 2 2 7 2" xfId="13539"/>
    <cellStyle name="Normal 13 2 2 8" xfId="13540"/>
    <cellStyle name="Normal 13 2 3" xfId="13541"/>
    <cellStyle name="Normal 13 2 3 2" xfId="13542"/>
    <cellStyle name="Normal 13 2 3 2 2" xfId="13543"/>
    <cellStyle name="Normal 13 2 3 2 2 2" xfId="13544"/>
    <cellStyle name="Normal 13 2 3 2 2 2 2" xfId="13545"/>
    <cellStyle name="Normal 13 2 3 2 2 2 2 2" xfId="13546"/>
    <cellStyle name="Normal 13 2 3 2 2 2 2 2 2" xfId="13547"/>
    <cellStyle name="Normal 13 2 3 2 2 2 2 3" xfId="13548"/>
    <cellStyle name="Normal 13 2 3 2 2 2 3" xfId="13549"/>
    <cellStyle name="Normal 13 2 3 2 2 2 3 2" xfId="13550"/>
    <cellStyle name="Normal 13 2 3 2 2 2 4" xfId="13551"/>
    <cellStyle name="Normal 13 2 3 2 2 3" xfId="13552"/>
    <cellStyle name="Normal 13 2 3 2 2 3 2" xfId="13553"/>
    <cellStyle name="Normal 13 2 3 2 2 3 2 2" xfId="13554"/>
    <cellStyle name="Normal 13 2 3 2 2 3 3" xfId="13555"/>
    <cellStyle name="Normal 13 2 3 2 2 4" xfId="13556"/>
    <cellStyle name="Normal 13 2 3 2 2 4 2" xfId="13557"/>
    <cellStyle name="Normal 13 2 3 2 2 5" xfId="13558"/>
    <cellStyle name="Normal 13 2 3 2 3" xfId="13559"/>
    <cellStyle name="Normal 13 2 3 2 3 2" xfId="13560"/>
    <cellStyle name="Normal 13 2 3 2 3 2 2" xfId="13561"/>
    <cellStyle name="Normal 13 2 3 2 3 2 2 2" xfId="13562"/>
    <cellStyle name="Normal 13 2 3 2 3 2 3" xfId="13563"/>
    <cellStyle name="Normal 13 2 3 2 3 3" xfId="13564"/>
    <cellStyle name="Normal 13 2 3 2 3 3 2" xfId="13565"/>
    <cellStyle name="Normal 13 2 3 2 3 4" xfId="13566"/>
    <cellStyle name="Normal 13 2 3 2 4" xfId="13567"/>
    <cellStyle name="Normal 13 2 3 2 4 2" xfId="13568"/>
    <cellStyle name="Normal 13 2 3 2 4 2 2" xfId="13569"/>
    <cellStyle name="Normal 13 2 3 2 4 3" xfId="13570"/>
    <cellStyle name="Normal 13 2 3 2 5" xfId="13571"/>
    <cellStyle name="Normal 13 2 3 2 5 2" xfId="13572"/>
    <cellStyle name="Normal 13 2 3 2 6" xfId="13573"/>
    <cellStyle name="Normal 13 2 3 3" xfId="13574"/>
    <cellStyle name="Normal 13 2 3 3 2" xfId="13575"/>
    <cellStyle name="Normal 13 2 3 3 2 2" xfId="13576"/>
    <cellStyle name="Normal 13 2 3 3 2 2 2" xfId="13577"/>
    <cellStyle name="Normal 13 2 3 3 2 2 2 2" xfId="13578"/>
    <cellStyle name="Normal 13 2 3 3 2 2 3" xfId="13579"/>
    <cellStyle name="Normal 13 2 3 3 2 3" xfId="13580"/>
    <cellStyle name="Normal 13 2 3 3 2 3 2" xfId="13581"/>
    <cellStyle name="Normal 13 2 3 3 2 4" xfId="13582"/>
    <cellStyle name="Normal 13 2 3 3 3" xfId="13583"/>
    <cellStyle name="Normal 13 2 3 3 3 2" xfId="13584"/>
    <cellStyle name="Normal 13 2 3 3 3 2 2" xfId="13585"/>
    <cellStyle name="Normal 13 2 3 3 3 3" xfId="13586"/>
    <cellStyle name="Normal 13 2 3 3 4" xfId="13587"/>
    <cellStyle name="Normal 13 2 3 3 4 2" xfId="13588"/>
    <cellStyle name="Normal 13 2 3 3 5" xfId="13589"/>
    <cellStyle name="Normal 13 2 3 4" xfId="13590"/>
    <cellStyle name="Normal 13 2 3 4 2" xfId="13591"/>
    <cellStyle name="Normal 13 2 3 4 2 2" xfId="13592"/>
    <cellStyle name="Normal 13 2 3 4 2 2 2" xfId="13593"/>
    <cellStyle name="Normal 13 2 3 4 2 3" xfId="13594"/>
    <cellStyle name="Normal 13 2 3 4 3" xfId="13595"/>
    <cellStyle name="Normal 13 2 3 4 3 2" xfId="13596"/>
    <cellStyle name="Normal 13 2 3 4 4" xfId="13597"/>
    <cellStyle name="Normal 13 2 3 5" xfId="13598"/>
    <cellStyle name="Normal 13 2 3 5 2" xfId="13599"/>
    <cellStyle name="Normal 13 2 3 5 2 2" xfId="13600"/>
    <cellStyle name="Normal 13 2 3 5 3" xfId="13601"/>
    <cellStyle name="Normal 13 2 3 6" xfId="13602"/>
    <cellStyle name="Normal 13 2 3 6 2" xfId="13603"/>
    <cellStyle name="Normal 13 2 3 7" xfId="13604"/>
    <cellStyle name="Normal 13 2 4" xfId="13605"/>
    <cellStyle name="Normal 13 2 4 2" xfId="13606"/>
    <cellStyle name="Normal 13 2 4 2 2" xfId="13607"/>
    <cellStyle name="Normal 13 2 4 2 2 2" xfId="13608"/>
    <cellStyle name="Normal 13 2 4 2 2 2 2" xfId="13609"/>
    <cellStyle name="Normal 13 2 4 2 2 2 2 2" xfId="13610"/>
    <cellStyle name="Normal 13 2 4 2 2 2 3" xfId="13611"/>
    <cellStyle name="Normal 13 2 4 2 2 3" xfId="13612"/>
    <cellStyle name="Normal 13 2 4 2 2 3 2" xfId="13613"/>
    <cellStyle name="Normal 13 2 4 2 2 4" xfId="13614"/>
    <cellStyle name="Normal 13 2 4 2 3" xfId="13615"/>
    <cellStyle name="Normal 13 2 4 2 3 2" xfId="13616"/>
    <cellStyle name="Normal 13 2 4 2 3 2 2" xfId="13617"/>
    <cellStyle name="Normal 13 2 4 2 3 3" xfId="13618"/>
    <cellStyle name="Normal 13 2 4 2 4" xfId="13619"/>
    <cellStyle name="Normal 13 2 4 2 4 2" xfId="13620"/>
    <cellStyle name="Normal 13 2 4 2 5" xfId="13621"/>
    <cellStyle name="Normal 13 2 4 3" xfId="13622"/>
    <cellStyle name="Normal 13 2 4 3 2" xfId="13623"/>
    <cellStyle name="Normal 13 2 4 3 2 2" xfId="13624"/>
    <cellStyle name="Normal 13 2 4 3 2 2 2" xfId="13625"/>
    <cellStyle name="Normal 13 2 4 3 2 3" xfId="13626"/>
    <cellStyle name="Normal 13 2 4 3 3" xfId="13627"/>
    <cellStyle name="Normal 13 2 4 3 3 2" xfId="13628"/>
    <cellStyle name="Normal 13 2 4 3 4" xfId="13629"/>
    <cellStyle name="Normal 13 2 4 4" xfId="13630"/>
    <cellStyle name="Normal 13 2 4 4 2" xfId="13631"/>
    <cellStyle name="Normal 13 2 4 4 2 2" xfId="13632"/>
    <cellStyle name="Normal 13 2 4 4 3" xfId="13633"/>
    <cellStyle name="Normal 13 2 4 5" xfId="13634"/>
    <cellStyle name="Normal 13 2 4 5 2" xfId="13635"/>
    <cellStyle name="Normal 13 2 4 6" xfId="13636"/>
    <cellStyle name="Normal 13 2 5" xfId="13637"/>
    <cellStyle name="Normal 13 2 5 2" xfId="13638"/>
    <cellStyle name="Normal 13 2 5 2 2" xfId="13639"/>
    <cellStyle name="Normal 13 2 5 2 2 2" xfId="13640"/>
    <cellStyle name="Normal 13 2 5 2 2 2 2" xfId="13641"/>
    <cellStyle name="Normal 13 2 5 2 2 3" xfId="13642"/>
    <cellStyle name="Normal 13 2 5 2 3" xfId="13643"/>
    <cellStyle name="Normal 13 2 5 2 3 2" xfId="13644"/>
    <cellStyle name="Normal 13 2 5 2 4" xfId="13645"/>
    <cellStyle name="Normal 13 2 5 3" xfId="13646"/>
    <cellStyle name="Normal 13 2 5 3 2" xfId="13647"/>
    <cellStyle name="Normal 13 2 5 3 2 2" xfId="13648"/>
    <cellStyle name="Normal 13 2 5 3 3" xfId="13649"/>
    <cellStyle name="Normal 13 2 5 4" xfId="13650"/>
    <cellStyle name="Normal 13 2 5 4 2" xfId="13651"/>
    <cellStyle name="Normal 13 2 5 5" xfId="13652"/>
    <cellStyle name="Normal 13 2 6" xfId="13653"/>
    <cellStyle name="Normal 13 2 6 2" xfId="13654"/>
    <cellStyle name="Normal 13 2 6 2 2" xfId="13655"/>
    <cellStyle name="Normal 13 2 6 2 2 2" xfId="13656"/>
    <cellStyle name="Normal 13 2 6 2 3" xfId="13657"/>
    <cellStyle name="Normal 13 2 6 3" xfId="13658"/>
    <cellStyle name="Normal 13 2 6 3 2" xfId="13659"/>
    <cellStyle name="Normal 13 2 6 4" xfId="13660"/>
    <cellStyle name="Normal 13 2 7" xfId="13661"/>
    <cellStyle name="Normal 13 2 7 2" xfId="13662"/>
    <cellStyle name="Normal 13 2 7 2 2" xfId="13663"/>
    <cellStyle name="Normal 13 2 7 3" xfId="13664"/>
    <cellStyle name="Normal 13 2 8" xfId="13665"/>
    <cellStyle name="Normal 13 2 8 2" xfId="13666"/>
    <cellStyle name="Normal 13 2 9" xfId="13667"/>
    <cellStyle name="Normal 13 3" xfId="13668"/>
    <cellStyle name="Normal 13 3 2" xfId="13669"/>
    <cellStyle name="Normal 13 3 2 2" xfId="13670"/>
    <cellStyle name="Normal 13 3 2 2 2" xfId="13671"/>
    <cellStyle name="Normal 13 3 2 2 2 2" xfId="13672"/>
    <cellStyle name="Normal 13 3 2 2 2 2 2" xfId="13673"/>
    <cellStyle name="Normal 13 3 2 2 2 2 2 2" xfId="13674"/>
    <cellStyle name="Normal 13 3 2 2 2 2 2 2 2" xfId="13675"/>
    <cellStyle name="Normal 13 3 2 2 2 2 2 3" xfId="13676"/>
    <cellStyle name="Normal 13 3 2 2 2 2 3" xfId="13677"/>
    <cellStyle name="Normal 13 3 2 2 2 2 3 2" xfId="13678"/>
    <cellStyle name="Normal 13 3 2 2 2 2 4" xfId="13679"/>
    <cellStyle name="Normal 13 3 2 2 2 3" xfId="13680"/>
    <cellStyle name="Normal 13 3 2 2 2 3 2" xfId="13681"/>
    <cellStyle name="Normal 13 3 2 2 2 3 2 2" xfId="13682"/>
    <cellStyle name="Normal 13 3 2 2 2 3 3" xfId="13683"/>
    <cellStyle name="Normal 13 3 2 2 2 4" xfId="13684"/>
    <cellStyle name="Normal 13 3 2 2 2 4 2" xfId="13685"/>
    <cellStyle name="Normal 13 3 2 2 2 5" xfId="13686"/>
    <cellStyle name="Normal 13 3 2 2 3" xfId="13687"/>
    <cellStyle name="Normal 13 3 2 2 3 2" xfId="13688"/>
    <cellStyle name="Normal 13 3 2 2 3 2 2" xfId="13689"/>
    <cellStyle name="Normal 13 3 2 2 3 2 2 2" xfId="13690"/>
    <cellStyle name="Normal 13 3 2 2 3 2 3" xfId="13691"/>
    <cellStyle name="Normal 13 3 2 2 3 3" xfId="13692"/>
    <cellStyle name="Normal 13 3 2 2 3 3 2" xfId="13693"/>
    <cellStyle name="Normal 13 3 2 2 3 4" xfId="13694"/>
    <cellStyle name="Normal 13 3 2 2 4" xfId="13695"/>
    <cellStyle name="Normal 13 3 2 2 4 2" xfId="13696"/>
    <cellStyle name="Normal 13 3 2 2 4 2 2" xfId="13697"/>
    <cellStyle name="Normal 13 3 2 2 4 3" xfId="13698"/>
    <cellStyle name="Normal 13 3 2 2 5" xfId="13699"/>
    <cellStyle name="Normal 13 3 2 2 5 2" xfId="13700"/>
    <cellStyle name="Normal 13 3 2 2 6" xfId="13701"/>
    <cellStyle name="Normal 13 3 2 3" xfId="13702"/>
    <cellStyle name="Normal 13 3 2 3 2" xfId="13703"/>
    <cellStyle name="Normal 13 3 2 3 2 2" xfId="13704"/>
    <cellStyle name="Normal 13 3 2 3 2 2 2" xfId="13705"/>
    <cellStyle name="Normal 13 3 2 3 2 2 2 2" xfId="13706"/>
    <cellStyle name="Normal 13 3 2 3 2 2 3" xfId="13707"/>
    <cellStyle name="Normal 13 3 2 3 2 3" xfId="13708"/>
    <cellStyle name="Normal 13 3 2 3 2 3 2" xfId="13709"/>
    <cellStyle name="Normal 13 3 2 3 2 4" xfId="13710"/>
    <cellStyle name="Normal 13 3 2 3 3" xfId="13711"/>
    <cellStyle name="Normal 13 3 2 3 3 2" xfId="13712"/>
    <cellStyle name="Normal 13 3 2 3 3 2 2" xfId="13713"/>
    <cellStyle name="Normal 13 3 2 3 3 3" xfId="13714"/>
    <cellStyle name="Normal 13 3 2 3 4" xfId="13715"/>
    <cellStyle name="Normal 13 3 2 3 4 2" xfId="13716"/>
    <cellStyle name="Normal 13 3 2 3 5" xfId="13717"/>
    <cellStyle name="Normal 13 3 2 4" xfId="13718"/>
    <cellStyle name="Normal 13 3 2 4 2" xfId="13719"/>
    <cellStyle name="Normal 13 3 2 4 2 2" xfId="13720"/>
    <cellStyle name="Normal 13 3 2 4 2 2 2" xfId="13721"/>
    <cellStyle name="Normal 13 3 2 4 2 3" xfId="13722"/>
    <cellStyle name="Normal 13 3 2 4 3" xfId="13723"/>
    <cellStyle name="Normal 13 3 2 4 3 2" xfId="13724"/>
    <cellStyle name="Normal 13 3 2 4 4" xfId="13725"/>
    <cellStyle name="Normal 13 3 2 5" xfId="13726"/>
    <cellStyle name="Normal 13 3 2 5 2" xfId="13727"/>
    <cellStyle name="Normal 13 3 2 5 2 2" xfId="13728"/>
    <cellStyle name="Normal 13 3 2 5 3" xfId="13729"/>
    <cellStyle name="Normal 13 3 2 6" xfId="13730"/>
    <cellStyle name="Normal 13 3 2 6 2" xfId="13731"/>
    <cellStyle name="Normal 13 3 2 7" xfId="13732"/>
    <cellStyle name="Normal 13 3 3" xfId="13733"/>
    <cellStyle name="Normal 13 3 3 2" xfId="13734"/>
    <cellStyle name="Normal 13 3 3 2 2" xfId="13735"/>
    <cellStyle name="Normal 13 3 3 2 2 2" xfId="13736"/>
    <cellStyle name="Normal 13 3 3 2 2 2 2" xfId="13737"/>
    <cellStyle name="Normal 13 3 3 2 2 2 2 2" xfId="13738"/>
    <cellStyle name="Normal 13 3 3 2 2 2 3" xfId="13739"/>
    <cellStyle name="Normal 13 3 3 2 2 3" xfId="13740"/>
    <cellStyle name="Normal 13 3 3 2 2 3 2" xfId="13741"/>
    <cellStyle name="Normal 13 3 3 2 2 4" xfId="13742"/>
    <cellStyle name="Normal 13 3 3 2 3" xfId="13743"/>
    <cellStyle name="Normal 13 3 3 2 3 2" xfId="13744"/>
    <cellStyle name="Normal 13 3 3 2 3 2 2" xfId="13745"/>
    <cellStyle name="Normal 13 3 3 2 3 3" xfId="13746"/>
    <cellStyle name="Normal 13 3 3 2 4" xfId="13747"/>
    <cellStyle name="Normal 13 3 3 2 4 2" xfId="13748"/>
    <cellStyle name="Normal 13 3 3 2 5" xfId="13749"/>
    <cellStyle name="Normal 13 3 3 3" xfId="13750"/>
    <cellStyle name="Normal 13 3 3 3 2" xfId="13751"/>
    <cellStyle name="Normal 13 3 3 3 2 2" xfId="13752"/>
    <cellStyle name="Normal 13 3 3 3 2 2 2" xfId="13753"/>
    <cellStyle name="Normal 13 3 3 3 2 3" xfId="13754"/>
    <cellStyle name="Normal 13 3 3 3 3" xfId="13755"/>
    <cellStyle name="Normal 13 3 3 3 3 2" xfId="13756"/>
    <cellStyle name="Normal 13 3 3 3 4" xfId="13757"/>
    <cellStyle name="Normal 13 3 3 4" xfId="13758"/>
    <cellStyle name="Normal 13 3 3 4 2" xfId="13759"/>
    <cellStyle name="Normal 13 3 3 4 2 2" xfId="13760"/>
    <cellStyle name="Normal 13 3 3 4 3" xfId="13761"/>
    <cellStyle name="Normal 13 3 3 5" xfId="13762"/>
    <cellStyle name="Normal 13 3 3 5 2" xfId="13763"/>
    <cellStyle name="Normal 13 3 3 6" xfId="13764"/>
    <cellStyle name="Normal 13 3 4" xfId="13765"/>
    <cellStyle name="Normal 13 3 4 2" xfId="13766"/>
    <cellStyle name="Normal 13 3 4 2 2" xfId="13767"/>
    <cellStyle name="Normal 13 3 4 2 2 2" xfId="13768"/>
    <cellStyle name="Normal 13 3 4 2 2 2 2" xfId="13769"/>
    <cellStyle name="Normal 13 3 4 2 2 3" xfId="13770"/>
    <cellStyle name="Normal 13 3 4 2 3" xfId="13771"/>
    <cellStyle name="Normal 13 3 4 2 3 2" xfId="13772"/>
    <cellStyle name="Normal 13 3 4 2 4" xfId="13773"/>
    <cellStyle name="Normal 13 3 4 3" xfId="13774"/>
    <cellStyle name="Normal 13 3 4 3 2" xfId="13775"/>
    <cellStyle name="Normal 13 3 4 3 2 2" xfId="13776"/>
    <cellStyle name="Normal 13 3 4 3 3" xfId="13777"/>
    <cellStyle name="Normal 13 3 4 4" xfId="13778"/>
    <cellStyle name="Normal 13 3 4 4 2" xfId="13779"/>
    <cellStyle name="Normal 13 3 4 5" xfId="13780"/>
    <cellStyle name="Normal 13 3 5" xfId="13781"/>
    <cellStyle name="Normal 13 3 5 2" xfId="13782"/>
    <cellStyle name="Normal 13 3 5 2 2" xfId="13783"/>
    <cellStyle name="Normal 13 3 5 2 2 2" xfId="13784"/>
    <cellStyle name="Normal 13 3 5 2 3" xfId="13785"/>
    <cellStyle name="Normal 13 3 5 3" xfId="13786"/>
    <cellStyle name="Normal 13 3 5 3 2" xfId="13787"/>
    <cellStyle name="Normal 13 3 5 4" xfId="13788"/>
    <cellStyle name="Normal 13 3 6" xfId="13789"/>
    <cellStyle name="Normal 13 3 6 2" xfId="13790"/>
    <cellStyle name="Normal 13 3 6 2 2" xfId="13791"/>
    <cellStyle name="Normal 13 3 6 3" xfId="13792"/>
    <cellStyle name="Normal 13 3 7" xfId="13793"/>
    <cellStyle name="Normal 13 3 7 2" xfId="13794"/>
    <cellStyle name="Normal 13 3 8" xfId="13795"/>
    <cellStyle name="Normal 13 4" xfId="13796"/>
    <cellStyle name="Normal 13 4 2" xfId="13797"/>
    <cellStyle name="Normal 13 4 2 2" xfId="13798"/>
    <cellStyle name="Normal 13 4 2 2 2" xfId="13799"/>
    <cellStyle name="Normal 13 4 2 2 2 2" xfId="13800"/>
    <cellStyle name="Normal 13 4 2 2 2 2 2" xfId="13801"/>
    <cellStyle name="Normal 13 4 2 2 2 2 2 2" xfId="13802"/>
    <cellStyle name="Normal 13 4 2 2 2 2 3" xfId="13803"/>
    <cellStyle name="Normal 13 4 2 2 2 3" xfId="13804"/>
    <cellStyle name="Normal 13 4 2 2 2 3 2" xfId="13805"/>
    <cellStyle name="Normal 13 4 2 2 2 4" xfId="13806"/>
    <cellStyle name="Normal 13 4 2 2 3" xfId="13807"/>
    <cellStyle name="Normal 13 4 2 2 3 2" xfId="13808"/>
    <cellStyle name="Normal 13 4 2 2 3 2 2" xfId="13809"/>
    <cellStyle name="Normal 13 4 2 2 3 3" xfId="13810"/>
    <cellStyle name="Normal 13 4 2 2 4" xfId="13811"/>
    <cellStyle name="Normal 13 4 2 2 4 2" xfId="13812"/>
    <cellStyle name="Normal 13 4 2 2 5" xfId="13813"/>
    <cellStyle name="Normal 13 4 2 3" xfId="13814"/>
    <cellStyle name="Normal 13 4 2 3 2" xfId="13815"/>
    <cellStyle name="Normal 13 4 2 3 2 2" xfId="13816"/>
    <cellStyle name="Normal 13 4 2 3 2 2 2" xfId="13817"/>
    <cellStyle name="Normal 13 4 2 3 2 3" xfId="13818"/>
    <cellStyle name="Normal 13 4 2 3 3" xfId="13819"/>
    <cellStyle name="Normal 13 4 2 3 3 2" xfId="13820"/>
    <cellStyle name="Normal 13 4 2 3 4" xfId="13821"/>
    <cellStyle name="Normal 13 4 2 4" xfId="13822"/>
    <cellStyle name="Normal 13 4 2 4 2" xfId="13823"/>
    <cellStyle name="Normal 13 4 2 4 2 2" xfId="13824"/>
    <cellStyle name="Normal 13 4 2 4 3" xfId="13825"/>
    <cellStyle name="Normal 13 4 2 5" xfId="13826"/>
    <cellStyle name="Normal 13 4 2 5 2" xfId="13827"/>
    <cellStyle name="Normal 13 4 2 6" xfId="13828"/>
    <cellStyle name="Normal 13 4 3" xfId="13829"/>
    <cellStyle name="Normal 13 4 3 2" xfId="13830"/>
    <cellStyle name="Normal 13 4 3 2 2" xfId="13831"/>
    <cellStyle name="Normal 13 4 3 2 2 2" xfId="13832"/>
    <cellStyle name="Normal 13 4 3 2 2 2 2" xfId="13833"/>
    <cellStyle name="Normal 13 4 3 2 2 3" xfId="13834"/>
    <cellStyle name="Normal 13 4 3 2 3" xfId="13835"/>
    <cellStyle name="Normal 13 4 3 2 3 2" xfId="13836"/>
    <cellStyle name="Normal 13 4 3 2 4" xfId="13837"/>
    <cellStyle name="Normal 13 4 3 3" xfId="13838"/>
    <cellStyle name="Normal 13 4 3 3 2" xfId="13839"/>
    <cellStyle name="Normal 13 4 3 3 2 2" xfId="13840"/>
    <cellStyle name="Normal 13 4 3 3 3" xfId="13841"/>
    <cellStyle name="Normal 13 4 3 4" xfId="13842"/>
    <cellStyle name="Normal 13 4 3 4 2" xfId="13843"/>
    <cellStyle name="Normal 13 4 3 5" xfId="13844"/>
    <cellStyle name="Normal 13 4 4" xfId="13845"/>
    <cellStyle name="Normal 13 4 4 2" xfId="13846"/>
    <cellStyle name="Normal 13 4 4 2 2" xfId="13847"/>
    <cellStyle name="Normal 13 4 4 2 2 2" xfId="13848"/>
    <cellStyle name="Normal 13 4 4 2 3" xfId="13849"/>
    <cellStyle name="Normal 13 4 4 3" xfId="13850"/>
    <cellStyle name="Normal 13 4 4 3 2" xfId="13851"/>
    <cellStyle name="Normal 13 4 4 4" xfId="13852"/>
    <cellStyle name="Normal 13 4 5" xfId="13853"/>
    <cellStyle name="Normal 13 4 5 2" xfId="13854"/>
    <cellStyle name="Normal 13 4 5 2 2" xfId="13855"/>
    <cellStyle name="Normal 13 4 5 3" xfId="13856"/>
    <cellStyle name="Normal 13 4 6" xfId="13857"/>
    <cellStyle name="Normal 13 4 6 2" xfId="13858"/>
    <cellStyle name="Normal 13 4 7" xfId="13859"/>
    <cellStyle name="Normal 13 5" xfId="13860"/>
    <cellStyle name="Normal 13 5 2" xfId="13861"/>
    <cellStyle name="Normal 13 5 2 2" xfId="13862"/>
    <cellStyle name="Normal 13 5 2 2 2" xfId="13863"/>
    <cellStyle name="Normal 13 5 2 2 2 2" xfId="13864"/>
    <cellStyle name="Normal 13 5 2 2 2 2 2" xfId="13865"/>
    <cellStyle name="Normal 13 5 2 2 2 3" xfId="13866"/>
    <cellStyle name="Normal 13 5 2 2 3" xfId="13867"/>
    <cellStyle name="Normal 13 5 2 2 3 2" xfId="13868"/>
    <cellStyle name="Normal 13 5 2 2 4" xfId="13869"/>
    <cellStyle name="Normal 13 5 2 3" xfId="13870"/>
    <cellStyle name="Normal 13 5 2 3 2" xfId="13871"/>
    <cellStyle name="Normal 13 5 2 3 2 2" xfId="13872"/>
    <cellStyle name="Normal 13 5 2 3 3" xfId="13873"/>
    <cellStyle name="Normal 13 5 2 4" xfId="13874"/>
    <cellStyle name="Normal 13 5 2 4 2" xfId="13875"/>
    <cellStyle name="Normal 13 5 2 5" xfId="13876"/>
    <cellStyle name="Normal 13 5 3" xfId="13877"/>
    <cellStyle name="Normal 13 5 3 2" xfId="13878"/>
    <cellStyle name="Normal 13 5 3 2 2" xfId="13879"/>
    <cellStyle name="Normal 13 5 3 2 2 2" xfId="13880"/>
    <cellStyle name="Normal 13 5 3 2 3" xfId="13881"/>
    <cellStyle name="Normal 13 5 3 3" xfId="13882"/>
    <cellStyle name="Normal 13 5 3 3 2" xfId="13883"/>
    <cellStyle name="Normal 13 5 3 4" xfId="13884"/>
    <cellStyle name="Normal 13 5 4" xfId="13885"/>
    <cellStyle name="Normal 13 5 4 2" xfId="13886"/>
    <cellStyle name="Normal 13 5 4 2 2" xfId="13887"/>
    <cellStyle name="Normal 13 5 4 3" xfId="13888"/>
    <cellStyle name="Normal 13 5 5" xfId="13889"/>
    <cellStyle name="Normal 13 5 5 2" xfId="13890"/>
    <cellStyle name="Normal 13 5 6" xfId="13891"/>
    <cellStyle name="Normal 13 6" xfId="13892"/>
    <cellStyle name="Normal 13 6 2" xfId="13893"/>
    <cellStyle name="Normal 13 6 2 2" xfId="13894"/>
    <cellStyle name="Normal 13 6 2 2 2" xfId="13895"/>
    <cellStyle name="Normal 13 6 2 2 2 2" xfId="13896"/>
    <cellStyle name="Normal 13 6 2 2 3" xfId="13897"/>
    <cellStyle name="Normal 13 6 2 3" xfId="13898"/>
    <cellStyle name="Normal 13 6 2 3 2" xfId="13899"/>
    <cellStyle name="Normal 13 6 2 4" xfId="13900"/>
    <cellStyle name="Normal 13 6 3" xfId="13901"/>
    <cellStyle name="Normal 13 6 3 2" xfId="13902"/>
    <cellStyle name="Normal 13 6 3 2 2" xfId="13903"/>
    <cellStyle name="Normal 13 6 3 3" xfId="13904"/>
    <cellStyle name="Normal 13 6 4" xfId="13905"/>
    <cellStyle name="Normal 13 6 4 2" xfId="13906"/>
    <cellStyle name="Normal 13 6 5" xfId="13907"/>
    <cellStyle name="Normal 13 7" xfId="13908"/>
    <cellStyle name="Normal 13 7 2" xfId="13909"/>
    <cellStyle name="Normal 13 7 2 2" xfId="13910"/>
    <cellStyle name="Normal 13 7 2 2 2" xfId="13911"/>
    <cellStyle name="Normal 13 7 2 3" xfId="13912"/>
    <cellStyle name="Normal 13 7 3" xfId="13913"/>
    <cellStyle name="Normal 13 7 3 2" xfId="13914"/>
    <cellStyle name="Normal 13 7 4" xfId="13915"/>
    <cellStyle name="Normal 13 8" xfId="13916"/>
    <cellStyle name="Normal 13 8 2" xfId="13917"/>
    <cellStyle name="Normal 13 8 2 2" xfId="13918"/>
    <cellStyle name="Normal 13 8 3" xfId="13919"/>
    <cellStyle name="Normal 13 9" xfId="13920"/>
    <cellStyle name="Normal 13 9 2" xfId="13921"/>
    <cellStyle name="Normal 14" xfId="13922"/>
    <cellStyle name="Normal 14 2" xfId="13923"/>
    <cellStyle name="Normal 14 2 2" xfId="13924"/>
    <cellStyle name="Normal 14 2 3" xfId="18820"/>
    <cellStyle name="Normal 14 3" xfId="13925"/>
    <cellStyle name="Normal 14 3 2" xfId="18783"/>
    <cellStyle name="Normal 14 4" xfId="18717"/>
    <cellStyle name="Normal 15" xfId="13926"/>
    <cellStyle name="Normal 15 2" xfId="13927"/>
    <cellStyle name="Normal 15 2 2" xfId="13928"/>
    <cellStyle name="Normal 15 2 2 2" xfId="13929"/>
    <cellStyle name="Normal 15 2 2 2 2" xfId="13930"/>
    <cellStyle name="Normal 15 2 2 2 2 2" xfId="13931"/>
    <cellStyle name="Normal 15 2 2 2 2 2 2" xfId="13932"/>
    <cellStyle name="Normal 15 2 2 2 2 2 2 2" xfId="13933"/>
    <cellStyle name="Normal 15 2 2 2 2 2 2 2 2" xfId="13934"/>
    <cellStyle name="Normal 15 2 2 2 2 2 2 3" xfId="13935"/>
    <cellStyle name="Normal 15 2 2 2 2 2 3" xfId="13936"/>
    <cellStyle name="Normal 15 2 2 2 2 2 3 2" xfId="13937"/>
    <cellStyle name="Normal 15 2 2 2 2 2 4" xfId="13938"/>
    <cellStyle name="Normal 15 2 2 2 2 3" xfId="13939"/>
    <cellStyle name="Normal 15 2 2 2 2 3 2" xfId="13940"/>
    <cellStyle name="Normal 15 2 2 2 2 3 2 2" xfId="13941"/>
    <cellStyle name="Normal 15 2 2 2 2 3 3" xfId="13942"/>
    <cellStyle name="Normal 15 2 2 2 2 4" xfId="13943"/>
    <cellStyle name="Normal 15 2 2 2 2 4 2" xfId="13944"/>
    <cellStyle name="Normal 15 2 2 2 2 5" xfId="13945"/>
    <cellStyle name="Normal 15 2 2 2 3" xfId="13946"/>
    <cellStyle name="Normal 15 2 2 2 3 2" xfId="13947"/>
    <cellStyle name="Normal 15 2 2 2 3 2 2" xfId="13948"/>
    <cellStyle name="Normal 15 2 2 2 3 2 2 2" xfId="13949"/>
    <cellStyle name="Normal 15 2 2 2 3 2 3" xfId="13950"/>
    <cellStyle name="Normal 15 2 2 2 3 3" xfId="13951"/>
    <cellStyle name="Normal 15 2 2 2 3 3 2" xfId="13952"/>
    <cellStyle name="Normal 15 2 2 2 3 4" xfId="13953"/>
    <cellStyle name="Normal 15 2 2 2 4" xfId="13954"/>
    <cellStyle name="Normal 15 2 2 2 4 2" xfId="13955"/>
    <cellStyle name="Normal 15 2 2 2 4 2 2" xfId="13956"/>
    <cellStyle name="Normal 15 2 2 2 4 3" xfId="13957"/>
    <cellStyle name="Normal 15 2 2 2 5" xfId="13958"/>
    <cellStyle name="Normal 15 2 2 2 5 2" xfId="13959"/>
    <cellStyle name="Normal 15 2 2 2 6" xfId="13960"/>
    <cellStyle name="Normal 15 2 2 3" xfId="13961"/>
    <cellStyle name="Normal 15 2 2 3 2" xfId="13962"/>
    <cellStyle name="Normal 15 2 2 3 2 2" xfId="13963"/>
    <cellStyle name="Normal 15 2 2 3 2 2 2" xfId="13964"/>
    <cellStyle name="Normal 15 2 2 3 2 2 2 2" xfId="13965"/>
    <cellStyle name="Normal 15 2 2 3 2 2 3" xfId="13966"/>
    <cellStyle name="Normal 15 2 2 3 2 3" xfId="13967"/>
    <cellStyle name="Normal 15 2 2 3 2 3 2" xfId="13968"/>
    <cellStyle name="Normal 15 2 2 3 2 4" xfId="13969"/>
    <cellStyle name="Normal 15 2 2 3 3" xfId="13970"/>
    <cellStyle name="Normal 15 2 2 3 3 2" xfId="13971"/>
    <cellStyle name="Normal 15 2 2 3 3 2 2" xfId="13972"/>
    <cellStyle name="Normal 15 2 2 3 3 3" xfId="13973"/>
    <cellStyle name="Normal 15 2 2 3 4" xfId="13974"/>
    <cellStyle name="Normal 15 2 2 3 4 2" xfId="13975"/>
    <cellStyle name="Normal 15 2 2 3 5" xfId="13976"/>
    <cellStyle name="Normal 15 2 2 4" xfId="13977"/>
    <cellStyle name="Normal 15 2 2 4 2" xfId="13978"/>
    <cellStyle name="Normal 15 2 2 4 2 2" xfId="13979"/>
    <cellStyle name="Normal 15 2 2 4 2 2 2" xfId="13980"/>
    <cellStyle name="Normal 15 2 2 4 2 3" xfId="13981"/>
    <cellStyle name="Normal 15 2 2 4 3" xfId="13982"/>
    <cellStyle name="Normal 15 2 2 4 3 2" xfId="13983"/>
    <cellStyle name="Normal 15 2 2 4 4" xfId="13984"/>
    <cellStyle name="Normal 15 2 2 5" xfId="13985"/>
    <cellStyle name="Normal 15 2 2 5 2" xfId="13986"/>
    <cellStyle name="Normal 15 2 2 5 2 2" xfId="13987"/>
    <cellStyle name="Normal 15 2 2 5 3" xfId="13988"/>
    <cellStyle name="Normal 15 2 2 6" xfId="13989"/>
    <cellStyle name="Normal 15 2 2 6 2" xfId="13990"/>
    <cellStyle name="Normal 15 2 2 7" xfId="13991"/>
    <cellStyle name="Normal 15 2 3" xfId="13992"/>
    <cellStyle name="Normal 15 2 3 2" xfId="13993"/>
    <cellStyle name="Normal 15 2 3 2 2" xfId="13994"/>
    <cellStyle name="Normal 15 2 3 2 2 2" xfId="13995"/>
    <cellStyle name="Normal 15 2 3 2 2 2 2" xfId="13996"/>
    <cellStyle name="Normal 15 2 3 2 2 2 2 2" xfId="13997"/>
    <cellStyle name="Normal 15 2 3 2 2 2 3" xfId="13998"/>
    <cellStyle name="Normal 15 2 3 2 2 3" xfId="13999"/>
    <cellStyle name="Normal 15 2 3 2 2 3 2" xfId="14000"/>
    <cellStyle name="Normal 15 2 3 2 2 4" xfId="14001"/>
    <cellStyle name="Normal 15 2 3 2 3" xfId="14002"/>
    <cellStyle name="Normal 15 2 3 2 3 2" xfId="14003"/>
    <cellStyle name="Normal 15 2 3 2 3 2 2" xfId="14004"/>
    <cellStyle name="Normal 15 2 3 2 3 3" xfId="14005"/>
    <cellStyle name="Normal 15 2 3 2 4" xfId="14006"/>
    <cellStyle name="Normal 15 2 3 2 4 2" xfId="14007"/>
    <cellStyle name="Normal 15 2 3 2 5" xfId="14008"/>
    <cellStyle name="Normal 15 2 3 3" xfId="14009"/>
    <cellStyle name="Normal 15 2 3 3 2" xfId="14010"/>
    <cellStyle name="Normal 15 2 3 3 2 2" xfId="14011"/>
    <cellStyle name="Normal 15 2 3 3 2 2 2" xfId="14012"/>
    <cellStyle name="Normal 15 2 3 3 2 3" xfId="14013"/>
    <cellStyle name="Normal 15 2 3 3 3" xfId="14014"/>
    <cellStyle name="Normal 15 2 3 3 3 2" xfId="14015"/>
    <cellStyle name="Normal 15 2 3 3 4" xfId="14016"/>
    <cellStyle name="Normal 15 2 3 4" xfId="14017"/>
    <cellStyle name="Normal 15 2 3 4 2" xfId="14018"/>
    <cellStyle name="Normal 15 2 3 4 2 2" xfId="14019"/>
    <cellStyle name="Normal 15 2 3 4 3" xfId="14020"/>
    <cellStyle name="Normal 15 2 3 5" xfId="14021"/>
    <cellStyle name="Normal 15 2 3 5 2" xfId="14022"/>
    <cellStyle name="Normal 15 2 3 6" xfId="14023"/>
    <cellStyle name="Normal 15 2 4" xfId="14024"/>
    <cellStyle name="Normal 15 2 4 2" xfId="14025"/>
    <cellStyle name="Normal 15 2 4 2 2" xfId="14026"/>
    <cellStyle name="Normal 15 2 4 2 2 2" xfId="14027"/>
    <cellStyle name="Normal 15 2 4 2 2 2 2" xfId="14028"/>
    <cellStyle name="Normal 15 2 4 2 2 3" xfId="14029"/>
    <cellStyle name="Normal 15 2 4 2 3" xfId="14030"/>
    <cellStyle name="Normal 15 2 4 2 3 2" xfId="14031"/>
    <cellStyle name="Normal 15 2 4 2 4" xfId="14032"/>
    <cellStyle name="Normal 15 2 4 3" xfId="14033"/>
    <cellStyle name="Normal 15 2 4 3 2" xfId="14034"/>
    <cellStyle name="Normal 15 2 4 3 2 2" xfId="14035"/>
    <cellStyle name="Normal 15 2 4 3 3" xfId="14036"/>
    <cellStyle name="Normal 15 2 4 4" xfId="14037"/>
    <cellStyle name="Normal 15 2 4 4 2" xfId="14038"/>
    <cellStyle name="Normal 15 2 4 5" xfId="14039"/>
    <cellStyle name="Normal 15 2 5" xfId="14040"/>
    <cellStyle name="Normal 15 2 5 2" xfId="14041"/>
    <cellStyle name="Normal 15 2 5 2 2" xfId="14042"/>
    <cellStyle name="Normal 15 2 5 2 2 2" xfId="14043"/>
    <cellStyle name="Normal 15 2 5 2 3" xfId="14044"/>
    <cellStyle name="Normal 15 2 5 3" xfId="14045"/>
    <cellStyle name="Normal 15 2 5 3 2" xfId="14046"/>
    <cellStyle name="Normal 15 2 5 4" xfId="14047"/>
    <cellStyle name="Normal 15 2 6" xfId="14048"/>
    <cellStyle name="Normal 15 2 6 2" xfId="14049"/>
    <cellStyle name="Normal 15 2 6 2 2" xfId="14050"/>
    <cellStyle name="Normal 15 2 6 3" xfId="14051"/>
    <cellStyle name="Normal 15 2 7" xfId="14052"/>
    <cellStyle name="Normal 15 2 7 2" xfId="14053"/>
    <cellStyle name="Normal 15 2 8" xfId="14054"/>
    <cellStyle name="Normal 15 3" xfId="14055"/>
    <cellStyle name="Normal 15 3 2" xfId="14056"/>
    <cellStyle name="Normal 15 3 2 2" xfId="14057"/>
    <cellStyle name="Normal 15 3 2 2 2" xfId="14058"/>
    <cellStyle name="Normal 15 3 2 2 2 2" xfId="14059"/>
    <cellStyle name="Normal 15 3 2 2 2 2 2" xfId="14060"/>
    <cellStyle name="Normal 15 3 2 2 2 2 2 2" xfId="14061"/>
    <cellStyle name="Normal 15 3 2 2 2 2 3" xfId="14062"/>
    <cellStyle name="Normal 15 3 2 2 2 3" xfId="14063"/>
    <cellStyle name="Normal 15 3 2 2 2 3 2" xfId="14064"/>
    <cellStyle name="Normal 15 3 2 2 2 4" xfId="14065"/>
    <cellStyle name="Normal 15 3 2 2 3" xfId="14066"/>
    <cellStyle name="Normal 15 3 2 2 3 2" xfId="14067"/>
    <cellStyle name="Normal 15 3 2 2 3 2 2" xfId="14068"/>
    <cellStyle name="Normal 15 3 2 2 3 3" xfId="14069"/>
    <cellStyle name="Normal 15 3 2 2 4" xfId="14070"/>
    <cellStyle name="Normal 15 3 2 2 4 2" xfId="14071"/>
    <cellStyle name="Normal 15 3 2 2 5" xfId="14072"/>
    <cellStyle name="Normal 15 3 2 3" xfId="14073"/>
    <cellStyle name="Normal 15 3 2 3 2" xfId="14074"/>
    <cellStyle name="Normal 15 3 2 3 2 2" xfId="14075"/>
    <cellStyle name="Normal 15 3 2 3 2 2 2" xfId="14076"/>
    <cellStyle name="Normal 15 3 2 3 2 3" xfId="14077"/>
    <cellStyle name="Normal 15 3 2 3 3" xfId="14078"/>
    <cellStyle name="Normal 15 3 2 3 3 2" xfId="14079"/>
    <cellStyle name="Normal 15 3 2 3 4" xfId="14080"/>
    <cellStyle name="Normal 15 3 2 4" xfId="14081"/>
    <cellStyle name="Normal 15 3 2 4 2" xfId="14082"/>
    <cellStyle name="Normal 15 3 2 4 2 2" xfId="14083"/>
    <cellStyle name="Normal 15 3 2 4 3" xfId="14084"/>
    <cellStyle name="Normal 15 3 2 5" xfId="14085"/>
    <cellStyle name="Normal 15 3 2 5 2" xfId="14086"/>
    <cellStyle name="Normal 15 3 2 6" xfId="14087"/>
    <cellStyle name="Normal 15 3 3" xfId="14088"/>
    <cellStyle name="Normal 15 3 3 2" xfId="14089"/>
    <cellStyle name="Normal 15 3 3 2 2" xfId="14090"/>
    <cellStyle name="Normal 15 3 3 2 2 2" xfId="14091"/>
    <cellStyle name="Normal 15 3 3 2 2 2 2" xfId="14092"/>
    <cellStyle name="Normal 15 3 3 2 2 3" xfId="14093"/>
    <cellStyle name="Normal 15 3 3 2 3" xfId="14094"/>
    <cellStyle name="Normal 15 3 3 2 3 2" xfId="14095"/>
    <cellStyle name="Normal 15 3 3 2 4" xfId="14096"/>
    <cellStyle name="Normal 15 3 3 3" xfId="14097"/>
    <cellStyle name="Normal 15 3 3 3 2" xfId="14098"/>
    <cellStyle name="Normal 15 3 3 3 2 2" xfId="14099"/>
    <cellStyle name="Normal 15 3 3 3 3" xfId="14100"/>
    <cellStyle name="Normal 15 3 3 4" xfId="14101"/>
    <cellStyle name="Normal 15 3 3 4 2" xfId="14102"/>
    <cellStyle name="Normal 15 3 3 5" xfId="14103"/>
    <cellStyle name="Normal 15 3 4" xfId="14104"/>
    <cellStyle name="Normal 15 3 4 2" xfId="14105"/>
    <cellStyle name="Normal 15 3 4 2 2" xfId="14106"/>
    <cellStyle name="Normal 15 3 4 2 2 2" xfId="14107"/>
    <cellStyle name="Normal 15 3 4 2 3" xfId="14108"/>
    <cellStyle name="Normal 15 3 4 3" xfId="14109"/>
    <cellStyle name="Normal 15 3 4 3 2" xfId="14110"/>
    <cellStyle name="Normal 15 3 4 4" xfId="14111"/>
    <cellStyle name="Normal 15 3 5" xfId="14112"/>
    <cellStyle name="Normal 15 3 5 2" xfId="14113"/>
    <cellStyle name="Normal 15 3 5 2 2" xfId="14114"/>
    <cellStyle name="Normal 15 3 5 3" xfId="14115"/>
    <cellStyle name="Normal 15 3 6" xfId="14116"/>
    <cellStyle name="Normal 15 3 6 2" xfId="14117"/>
    <cellStyle name="Normal 15 3 7" xfId="14118"/>
    <cellStyle name="Normal 15 4" xfId="14119"/>
    <cellStyle name="Normal 15 4 2" xfId="14120"/>
    <cellStyle name="Normal 15 4 2 2" xfId="14121"/>
    <cellStyle name="Normal 15 4 2 2 2" xfId="14122"/>
    <cellStyle name="Normal 15 4 2 2 2 2" xfId="14123"/>
    <cellStyle name="Normal 15 4 2 2 2 2 2" xfId="14124"/>
    <cellStyle name="Normal 15 4 2 2 2 3" xfId="14125"/>
    <cellStyle name="Normal 15 4 2 2 3" xfId="14126"/>
    <cellStyle name="Normal 15 4 2 2 3 2" xfId="14127"/>
    <cellStyle name="Normal 15 4 2 2 4" xfId="14128"/>
    <cellStyle name="Normal 15 4 2 3" xfId="14129"/>
    <cellStyle name="Normal 15 4 2 3 2" xfId="14130"/>
    <cellStyle name="Normal 15 4 2 3 2 2" xfId="14131"/>
    <cellStyle name="Normal 15 4 2 3 3" xfId="14132"/>
    <cellStyle name="Normal 15 4 2 4" xfId="14133"/>
    <cellStyle name="Normal 15 4 2 4 2" xfId="14134"/>
    <cellStyle name="Normal 15 4 2 5" xfId="14135"/>
    <cellStyle name="Normal 15 4 3" xfId="14136"/>
    <cellStyle name="Normal 15 4 3 2" xfId="14137"/>
    <cellStyle name="Normal 15 4 3 2 2" xfId="14138"/>
    <cellStyle name="Normal 15 4 3 2 2 2" xfId="14139"/>
    <cellStyle name="Normal 15 4 3 2 3" xfId="14140"/>
    <cellStyle name="Normal 15 4 3 3" xfId="14141"/>
    <cellStyle name="Normal 15 4 3 3 2" xfId="14142"/>
    <cellStyle name="Normal 15 4 3 4" xfId="14143"/>
    <cellStyle name="Normal 15 4 4" xfId="14144"/>
    <cellStyle name="Normal 15 4 4 2" xfId="14145"/>
    <cellStyle name="Normal 15 4 4 2 2" xfId="14146"/>
    <cellStyle name="Normal 15 4 4 3" xfId="14147"/>
    <cellStyle name="Normal 15 4 5" xfId="14148"/>
    <cellStyle name="Normal 15 4 5 2" xfId="14149"/>
    <cellStyle name="Normal 15 4 6" xfId="14150"/>
    <cellStyle name="Normal 15 5" xfId="14151"/>
    <cellStyle name="Normal 15 5 2" xfId="14152"/>
    <cellStyle name="Normal 15 5 2 2" xfId="14153"/>
    <cellStyle name="Normal 15 5 2 2 2" xfId="14154"/>
    <cellStyle name="Normal 15 5 2 2 2 2" xfId="14155"/>
    <cellStyle name="Normal 15 5 2 2 3" xfId="14156"/>
    <cellStyle name="Normal 15 5 2 3" xfId="14157"/>
    <cellStyle name="Normal 15 5 2 3 2" xfId="14158"/>
    <cellStyle name="Normal 15 5 2 4" xfId="14159"/>
    <cellStyle name="Normal 15 5 3" xfId="14160"/>
    <cellStyle name="Normal 15 5 3 2" xfId="14161"/>
    <cellStyle name="Normal 15 5 3 2 2" xfId="14162"/>
    <cellStyle name="Normal 15 5 3 3" xfId="14163"/>
    <cellStyle name="Normal 15 5 4" xfId="14164"/>
    <cellStyle name="Normal 15 5 4 2" xfId="14165"/>
    <cellStyle name="Normal 15 5 5" xfId="14166"/>
    <cellStyle name="Normal 15 6" xfId="14167"/>
    <cellStyle name="Normal 15 6 2" xfId="14168"/>
    <cellStyle name="Normal 15 6 2 2" xfId="14169"/>
    <cellStyle name="Normal 15 6 2 2 2" xfId="14170"/>
    <cellStyle name="Normal 15 6 2 3" xfId="14171"/>
    <cellStyle name="Normal 15 6 3" xfId="14172"/>
    <cellStyle name="Normal 15 6 3 2" xfId="14173"/>
    <cellStyle name="Normal 15 6 4" xfId="14174"/>
    <cellStyle name="Normal 15 7" xfId="14175"/>
    <cellStyle name="Normal 15 7 2" xfId="14176"/>
    <cellStyle name="Normal 15 7 2 2" xfId="14177"/>
    <cellStyle name="Normal 15 7 3" xfId="14178"/>
    <cellStyle name="Normal 15 8" xfId="14179"/>
    <cellStyle name="Normal 15 8 2" xfId="14180"/>
    <cellStyle name="Normal 15 9" xfId="14181"/>
    <cellStyle name="Normal 16" xfId="14182"/>
    <cellStyle name="Normal 16 2" xfId="14183"/>
    <cellStyle name="Normal 16 2 2" xfId="14184"/>
    <cellStyle name="Normal 16 2 3" xfId="18841"/>
    <cellStyle name="Normal 16 3" xfId="14185"/>
    <cellStyle name="Normal 16 3 2" xfId="18784"/>
    <cellStyle name="Normal 16 4" xfId="18741"/>
    <cellStyle name="Normal 17" xfId="14186"/>
    <cellStyle name="Normal 17 2" xfId="14187"/>
    <cellStyle name="Normal 17 2 2" xfId="14188"/>
    <cellStyle name="Normal 17 2 2 2" xfId="14189"/>
    <cellStyle name="Normal 17 2 2 2 2" xfId="14190"/>
    <cellStyle name="Normal 17 2 2 2 2 2" xfId="14191"/>
    <cellStyle name="Normal 17 2 2 2 2 2 2" xfId="14192"/>
    <cellStyle name="Normal 17 2 2 2 2 2 2 2" xfId="14193"/>
    <cellStyle name="Normal 17 2 2 2 2 2 3" xfId="14194"/>
    <cellStyle name="Normal 17 2 2 2 2 3" xfId="14195"/>
    <cellStyle name="Normal 17 2 2 2 2 3 2" xfId="14196"/>
    <cellStyle name="Normal 17 2 2 2 2 4" xfId="14197"/>
    <cellStyle name="Normal 17 2 2 2 3" xfId="14198"/>
    <cellStyle name="Normal 17 2 2 2 3 2" xfId="14199"/>
    <cellStyle name="Normal 17 2 2 2 3 2 2" xfId="14200"/>
    <cellStyle name="Normal 17 2 2 2 3 3" xfId="14201"/>
    <cellStyle name="Normal 17 2 2 2 4" xfId="14202"/>
    <cellStyle name="Normal 17 2 2 2 4 2" xfId="14203"/>
    <cellStyle name="Normal 17 2 2 2 5" xfId="14204"/>
    <cellStyle name="Normal 17 2 2 3" xfId="14205"/>
    <cellStyle name="Normal 17 2 2 3 2" xfId="14206"/>
    <cellStyle name="Normal 17 2 2 3 2 2" xfId="14207"/>
    <cellStyle name="Normal 17 2 2 3 2 2 2" xfId="14208"/>
    <cellStyle name="Normal 17 2 2 3 2 3" xfId="14209"/>
    <cellStyle name="Normal 17 2 2 3 3" xfId="14210"/>
    <cellStyle name="Normal 17 2 2 3 3 2" xfId="14211"/>
    <cellStyle name="Normal 17 2 2 3 4" xfId="14212"/>
    <cellStyle name="Normal 17 2 2 4" xfId="14213"/>
    <cellStyle name="Normal 17 2 2 4 2" xfId="14214"/>
    <cellStyle name="Normal 17 2 2 4 2 2" xfId="14215"/>
    <cellStyle name="Normal 17 2 2 4 3" xfId="14216"/>
    <cellStyle name="Normal 17 2 2 5" xfId="14217"/>
    <cellStyle name="Normal 17 2 2 5 2" xfId="14218"/>
    <cellStyle name="Normal 17 2 2 6" xfId="14219"/>
    <cellStyle name="Normal 17 2 3" xfId="14220"/>
    <cellStyle name="Normal 17 2 3 2" xfId="14221"/>
    <cellStyle name="Normal 17 2 3 2 2" xfId="14222"/>
    <cellStyle name="Normal 17 2 3 2 2 2" xfId="14223"/>
    <cellStyle name="Normal 17 2 3 2 2 2 2" xfId="14224"/>
    <cellStyle name="Normal 17 2 3 2 2 3" xfId="14225"/>
    <cellStyle name="Normal 17 2 3 2 3" xfId="14226"/>
    <cellStyle name="Normal 17 2 3 2 3 2" xfId="14227"/>
    <cellStyle name="Normal 17 2 3 2 4" xfId="14228"/>
    <cellStyle name="Normal 17 2 3 3" xfId="14229"/>
    <cellStyle name="Normal 17 2 3 3 2" xfId="14230"/>
    <cellStyle name="Normal 17 2 3 3 2 2" xfId="14231"/>
    <cellStyle name="Normal 17 2 3 3 3" xfId="14232"/>
    <cellStyle name="Normal 17 2 3 4" xfId="14233"/>
    <cellStyle name="Normal 17 2 3 4 2" xfId="14234"/>
    <cellStyle name="Normal 17 2 3 5" xfId="14235"/>
    <cellStyle name="Normal 17 2 4" xfId="14236"/>
    <cellStyle name="Normal 17 2 4 2" xfId="14237"/>
    <cellStyle name="Normal 17 2 4 2 2" xfId="14238"/>
    <cellStyle name="Normal 17 2 4 2 2 2" xfId="14239"/>
    <cellStyle name="Normal 17 2 4 2 3" xfId="14240"/>
    <cellStyle name="Normal 17 2 4 3" xfId="14241"/>
    <cellStyle name="Normal 17 2 4 3 2" xfId="14242"/>
    <cellStyle name="Normal 17 2 4 4" xfId="14243"/>
    <cellStyle name="Normal 17 2 5" xfId="14244"/>
    <cellStyle name="Normal 17 2 5 2" xfId="14245"/>
    <cellStyle name="Normal 17 2 5 2 2" xfId="14246"/>
    <cellStyle name="Normal 17 2 5 3" xfId="14247"/>
    <cellStyle name="Normal 17 2 6" xfId="14248"/>
    <cellStyle name="Normal 17 2 6 2" xfId="14249"/>
    <cellStyle name="Normal 17 2 7" xfId="14250"/>
    <cellStyle name="Normal 17 3" xfId="14251"/>
    <cellStyle name="Normal 17 3 2" xfId="14252"/>
    <cellStyle name="Normal 17 3 2 2" xfId="14253"/>
    <cellStyle name="Normal 17 3 2 2 2" xfId="14254"/>
    <cellStyle name="Normal 17 3 2 2 2 2" xfId="14255"/>
    <cellStyle name="Normal 17 3 2 2 2 2 2" xfId="14256"/>
    <cellStyle name="Normal 17 3 2 2 2 3" xfId="14257"/>
    <cellStyle name="Normal 17 3 2 2 3" xfId="14258"/>
    <cellStyle name="Normal 17 3 2 2 3 2" xfId="14259"/>
    <cellStyle name="Normal 17 3 2 2 4" xfId="14260"/>
    <cellStyle name="Normal 17 3 2 3" xfId="14261"/>
    <cellStyle name="Normal 17 3 2 3 2" xfId="14262"/>
    <cellStyle name="Normal 17 3 2 3 2 2" xfId="14263"/>
    <cellStyle name="Normal 17 3 2 3 3" xfId="14264"/>
    <cellStyle name="Normal 17 3 2 4" xfId="14265"/>
    <cellStyle name="Normal 17 3 2 4 2" xfId="14266"/>
    <cellStyle name="Normal 17 3 2 5" xfId="14267"/>
    <cellStyle name="Normal 17 3 3" xfId="14268"/>
    <cellStyle name="Normal 17 3 3 2" xfId="14269"/>
    <cellStyle name="Normal 17 3 3 2 2" xfId="14270"/>
    <cellStyle name="Normal 17 3 3 2 2 2" xfId="14271"/>
    <cellStyle name="Normal 17 3 3 2 3" xfId="14272"/>
    <cellStyle name="Normal 17 3 3 3" xfId="14273"/>
    <cellStyle name="Normal 17 3 3 3 2" xfId="14274"/>
    <cellStyle name="Normal 17 3 3 4" xfId="14275"/>
    <cellStyle name="Normal 17 3 4" xfId="14276"/>
    <cellStyle name="Normal 17 3 4 2" xfId="14277"/>
    <cellStyle name="Normal 17 3 4 2 2" xfId="14278"/>
    <cellStyle name="Normal 17 3 4 3" xfId="14279"/>
    <cellStyle name="Normal 17 3 5" xfId="14280"/>
    <cellStyle name="Normal 17 3 5 2" xfId="14281"/>
    <cellStyle name="Normal 17 3 6" xfId="14282"/>
    <cellStyle name="Normal 17 4" xfId="14283"/>
    <cellStyle name="Normal 17 4 2" xfId="14284"/>
    <cellStyle name="Normal 17 4 2 2" xfId="14285"/>
    <cellStyle name="Normal 17 4 2 2 2" xfId="14286"/>
    <cellStyle name="Normal 17 4 2 2 2 2" xfId="14287"/>
    <cellStyle name="Normal 17 4 2 2 3" xfId="14288"/>
    <cellStyle name="Normal 17 4 2 3" xfId="14289"/>
    <cellStyle name="Normal 17 4 2 3 2" xfId="14290"/>
    <cellStyle name="Normal 17 4 2 4" xfId="14291"/>
    <cellStyle name="Normal 17 4 3" xfId="14292"/>
    <cellStyle name="Normal 17 4 3 2" xfId="14293"/>
    <cellStyle name="Normal 17 4 3 2 2" xfId="14294"/>
    <cellStyle name="Normal 17 4 3 3" xfId="14295"/>
    <cellStyle name="Normal 17 4 4" xfId="14296"/>
    <cellStyle name="Normal 17 4 4 2" xfId="14297"/>
    <cellStyle name="Normal 17 4 5" xfId="14298"/>
    <cellStyle name="Normal 17 5" xfId="14299"/>
    <cellStyle name="Normal 17 5 2" xfId="14300"/>
    <cellStyle name="Normal 17 5 2 2" xfId="14301"/>
    <cellStyle name="Normal 17 5 2 2 2" xfId="14302"/>
    <cellStyle name="Normal 17 5 2 3" xfId="14303"/>
    <cellStyle name="Normal 17 5 3" xfId="14304"/>
    <cellStyle name="Normal 17 5 3 2" xfId="14305"/>
    <cellStyle name="Normal 17 5 4" xfId="14306"/>
    <cellStyle name="Normal 17 6" xfId="14307"/>
    <cellStyle name="Normal 17 6 2" xfId="14308"/>
    <cellStyle name="Normal 17 6 2 2" xfId="14309"/>
    <cellStyle name="Normal 17 6 3" xfId="14310"/>
    <cellStyle name="Normal 17 7" xfId="14311"/>
    <cellStyle name="Normal 17 7 2" xfId="14312"/>
    <cellStyle name="Normal 17 8" xfId="14313"/>
    <cellStyle name="Normal 18" xfId="14314"/>
    <cellStyle name="Normal 18 2" xfId="14315"/>
    <cellStyle name="Normal 18 2 2" xfId="18794"/>
    <cellStyle name="Normal 18 3" xfId="18677"/>
    <cellStyle name="Normal 19" xfId="14316"/>
    <cellStyle name="Normal 19 2" xfId="14317"/>
    <cellStyle name="Normal 19 2 2" xfId="14318"/>
    <cellStyle name="Normal 19 2 2 2" xfId="14319"/>
    <cellStyle name="Normal 19 2 2 2 2" xfId="14320"/>
    <cellStyle name="Normal 19 2 2 2 2 2" xfId="14321"/>
    <cellStyle name="Normal 19 2 2 2 2 2 2" xfId="14322"/>
    <cellStyle name="Normal 19 2 2 2 2 3" xfId="14323"/>
    <cellStyle name="Normal 19 2 2 2 3" xfId="14324"/>
    <cellStyle name="Normal 19 2 2 2 3 2" xfId="14325"/>
    <cellStyle name="Normal 19 2 2 2 4" xfId="14326"/>
    <cellStyle name="Normal 19 2 2 3" xfId="14327"/>
    <cellStyle name="Normal 19 2 2 3 2" xfId="14328"/>
    <cellStyle name="Normal 19 2 2 3 2 2" xfId="14329"/>
    <cellStyle name="Normal 19 2 2 3 3" xfId="14330"/>
    <cellStyle name="Normal 19 2 2 4" xfId="14331"/>
    <cellStyle name="Normal 19 2 2 4 2" xfId="14332"/>
    <cellStyle name="Normal 19 2 2 5" xfId="14333"/>
    <cellStyle name="Normal 19 2 3" xfId="14334"/>
    <cellStyle name="Normal 19 2 3 2" xfId="14335"/>
    <cellStyle name="Normal 19 2 3 2 2" xfId="14336"/>
    <cellStyle name="Normal 19 2 3 2 2 2" xfId="14337"/>
    <cellStyle name="Normal 19 2 3 2 3" xfId="14338"/>
    <cellStyle name="Normal 19 2 3 3" xfId="14339"/>
    <cellStyle name="Normal 19 2 3 3 2" xfId="14340"/>
    <cellStyle name="Normal 19 2 3 4" xfId="14341"/>
    <cellStyle name="Normal 19 2 4" xfId="14342"/>
    <cellStyle name="Normal 19 2 4 2" xfId="14343"/>
    <cellStyle name="Normal 19 2 4 2 2" xfId="14344"/>
    <cellStyle name="Normal 19 2 4 3" xfId="14345"/>
    <cellStyle name="Normal 19 2 5" xfId="14346"/>
    <cellStyle name="Normal 19 2 5 2" xfId="14347"/>
    <cellStyle name="Normal 19 2 6" xfId="14348"/>
    <cellStyle name="Normal 19 3" xfId="14349"/>
    <cellStyle name="Normal 19 3 2" xfId="14350"/>
    <cellStyle name="Normal 19 3 2 2" xfId="14351"/>
    <cellStyle name="Normal 19 3 2 2 2" xfId="14352"/>
    <cellStyle name="Normal 19 3 2 2 2 2" xfId="14353"/>
    <cellStyle name="Normal 19 3 2 2 3" xfId="14354"/>
    <cellStyle name="Normal 19 3 2 3" xfId="14355"/>
    <cellStyle name="Normal 19 3 2 3 2" xfId="14356"/>
    <cellStyle name="Normal 19 3 2 4" xfId="14357"/>
    <cellStyle name="Normal 19 3 3" xfId="14358"/>
    <cellStyle name="Normal 19 3 3 2" xfId="14359"/>
    <cellStyle name="Normal 19 3 3 2 2" xfId="14360"/>
    <cellStyle name="Normal 19 3 3 3" xfId="14361"/>
    <cellStyle name="Normal 19 3 4" xfId="14362"/>
    <cellStyle name="Normal 19 3 4 2" xfId="14363"/>
    <cellStyle name="Normal 19 3 5" xfId="14364"/>
    <cellStyle name="Normal 19 4" xfId="14365"/>
    <cellStyle name="Normal 19 4 2" xfId="14366"/>
    <cellStyle name="Normal 19 4 2 2" xfId="14367"/>
    <cellStyle name="Normal 19 4 2 2 2" xfId="14368"/>
    <cellStyle name="Normal 19 4 2 3" xfId="14369"/>
    <cellStyle name="Normal 19 4 3" xfId="14370"/>
    <cellStyle name="Normal 19 4 3 2" xfId="14371"/>
    <cellStyle name="Normal 19 4 4" xfId="14372"/>
    <cellStyle name="Normal 19 5" xfId="14373"/>
    <cellStyle name="Normal 19 5 2" xfId="14374"/>
    <cellStyle name="Normal 19 5 2 2" xfId="14375"/>
    <cellStyle name="Normal 19 5 3" xfId="14376"/>
    <cellStyle name="Normal 19 6" xfId="14377"/>
    <cellStyle name="Normal 19 6 2" xfId="14378"/>
    <cellStyle name="Normal 19 7" xfId="14379"/>
    <cellStyle name="Normal 2" xfId="3"/>
    <cellStyle name="normal 2 2" xfId="14380"/>
    <cellStyle name="normal 2 3" xfId="18631"/>
    <cellStyle name="normal 2 4" xfId="18632"/>
    <cellStyle name="normal 2 5" xfId="18777"/>
    <cellStyle name="Normal 2 6" xfId="18593"/>
    <cellStyle name="Normal 20" xfId="14381"/>
    <cellStyle name="Normal 20 2" xfId="14382"/>
    <cellStyle name="Normal 20 3" xfId="18883"/>
    <cellStyle name="Normal 21" xfId="14383"/>
    <cellStyle name="Normal 21 2" xfId="14384"/>
    <cellStyle name="Normal 21 2 2" xfId="14385"/>
    <cellStyle name="Normal 21 2 2 2" xfId="14386"/>
    <cellStyle name="Normal 21 2 2 2 2" xfId="14387"/>
    <cellStyle name="Normal 21 2 2 2 2 2" xfId="14388"/>
    <cellStyle name="Normal 21 2 2 2 3" xfId="14389"/>
    <cellStyle name="Normal 21 2 2 3" xfId="14390"/>
    <cellStyle name="Normal 21 2 2 3 2" xfId="14391"/>
    <cellStyle name="Normal 21 2 2 4" xfId="14392"/>
    <cellStyle name="Normal 21 2 3" xfId="14393"/>
    <cellStyle name="Normal 21 2 3 2" xfId="14394"/>
    <cellStyle name="Normal 21 2 3 2 2" xfId="14395"/>
    <cellStyle name="Normal 21 2 3 3" xfId="14396"/>
    <cellStyle name="Normal 21 2 4" xfId="14397"/>
    <cellStyle name="Normal 21 2 4 2" xfId="14398"/>
    <cellStyle name="Normal 21 2 5" xfId="14399"/>
    <cellStyle name="Normal 21 3" xfId="14400"/>
    <cellStyle name="Normal 21 3 2" xfId="14401"/>
    <cellStyle name="Normal 21 3 2 2" xfId="14402"/>
    <cellStyle name="Normal 21 3 2 2 2" xfId="14403"/>
    <cellStyle name="Normal 21 3 2 3" xfId="14404"/>
    <cellStyle name="Normal 21 3 3" xfId="14405"/>
    <cellStyle name="Normal 21 3 3 2" xfId="14406"/>
    <cellStyle name="Normal 21 3 4" xfId="14407"/>
    <cellStyle name="Normal 21 4" xfId="14408"/>
    <cellStyle name="Normal 21 4 2" xfId="14409"/>
    <cellStyle name="Normal 21 4 2 2" xfId="14410"/>
    <cellStyle name="Normal 21 4 3" xfId="14411"/>
    <cellStyle name="Normal 21 5" xfId="14412"/>
    <cellStyle name="Normal 21 5 2" xfId="14413"/>
    <cellStyle name="Normal 21 6" xfId="14414"/>
    <cellStyle name="Normal 22" xfId="14415"/>
    <cellStyle name="Normal 22 2" xfId="14416"/>
    <cellStyle name="Normal 22 3" xfId="19048"/>
    <cellStyle name="Normal 23" xfId="14417"/>
    <cellStyle name="Normal 23 2" xfId="14418"/>
    <cellStyle name="Normal 23 2 2" xfId="14419"/>
    <cellStyle name="Normal 23 2 2 2" xfId="14420"/>
    <cellStyle name="Normal 23 2 2 2 2" xfId="14421"/>
    <cellStyle name="Normal 23 2 2 3" xfId="14422"/>
    <cellStyle name="Normal 23 2 3" xfId="14423"/>
    <cellStyle name="Normal 23 2 3 2" xfId="14424"/>
    <cellStyle name="Normal 23 2 4" xfId="14425"/>
    <cellStyle name="Normal 23 3" xfId="14426"/>
    <cellStyle name="Normal 23 3 2" xfId="14427"/>
    <cellStyle name="Normal 23 3 2 2" xfId="14428"/>
    <cellStyle name="Normal 23 3 3" xfId="14429"/>
    <cellStyle name="Normal 23 4" xfId="14430"/>
    <cellStyle name="Normal 23 4 2" xfId="14431"/>
    <cellStyle name="Normal 23 5" xfId="14432"/>
    <cellStyle name="Normal 24" xfId="14433"/>
    <cellStyle name="Normal 24 2" xfId="14434"/>
    <cellStyle name="Normal 24 3" xfId="19374"/>
    <cellStyle name="Normal 25" xfId="14435"/>
    <cellStyle name="Normal 25 2" xfId="14436"/>
    <cellStyle name="Normal 25 2 2" xfId="14437"/>
    <cellStyle name="Normal 25 2 2 2" xfId="14438"/>
    <cellStyle name="Normal 25 2 3" xfId="14439"/>
    <cellStyle name="Normal 25 3" xfId="14440"/>
    <cellStyle name="Normal 25 3 2" xfId="14441"/>
    <cellStyle name="Normal 25 4" xfId="14442"/>
    <cellStyle name="Normal 26" xfId="14443"/>
    <cellStyle name="Normal 26 2" xfId="14444"/>
    <cellStyle name="Normal 26 3" xfId="20022"/>
    <cellStyle name="Normal 27" xfId="14445"/>
    <cellStyle name="Normal 27 2" xfId="14446"/>
    <cellStyle name="Normal 27 2 2" xfId="14447"/>
    <cellStyle name="Normal 27 3" xfId="14448"/>
    <cellStyle name="Normal 28" xfId="14449"/>
    <cellStyle name="Normal 28 2" xfId="14450"/>
    <cellStyle name="Normal 28 3" xfId="21315"/>
    <cellStyle name="Normal 29" xfId="14451"/>
    <cellStyle name="Normal 3" xfId="2"/>
    <cellStyle name="Normal 3 2" xfId="14452"/>
    <cellStyle name="Normal 3 2 2" xfId="18685"/>
    <cellStyle name="Normal 3 3" xfId="18633"/>
    <cellStyle name="Normal 30" xfId="14453"/>
    <cellStyle name="Normal 30 2" xfId="18776"/>
    <cellStyle name="Normal 31" xfId="14454"/>
    <cellStyle name="Normal 32" xfId="8"/>
    <cellStyle name="Normal 4" xfId="1"/>
    <cellStyle name="Normal 4 2" xfId="14455"/>
    <cellStyle name="Normal 4 2 2" xfId="18690"/>
    <cellStyle name="Normal 4 3" xfId="18672"/>
    <cellStyle name="Normal 5" xfId="14456"/>
    <cellStyle name="Normal 5 2" xfId="18691"/>
    <cellStyle name="Normal 5 3" xfId="18673"/>
    <cellStyle name="Normal 6" xfId="14457"/>
    <cellStyle name="Normal 6 10" xfId="14458"/>
    <cellStyle name="Normal 6 10 2" xfId="14459"/>
    <cellStyle name="Normal 6 10 2 2" xfId="14460"/>
    <cellStyle name="Normal 6 10 3" xfId="14461"/>
    <cellStyle name="Normal 6 11" xfId="14462"/>
    <cellStyle name="Normal 6 11 2" xfId="14463"/>
    <cellStyle name="Normal 6 12" xfId="14464"/>
    <cellStyle name="Normal 6 13" xfId="14465"/>
    <cellStyle name="Normal 6 14" xfId="14466"/>
    <cellStyle name="Normal 6 15" xfId="14467"/>
    <cellStyle name="Normal 6 16" xfId="14468"/>
    <cellStyle name="Normal 6 17" xfId="14469"/>
    <cellStyle name="Normal 6 18" xfId="14470"/>
    <cellStyle name="Normal 6 19" xfId="18674"/>
    <cellStyle name="Normal 6 2" xfId="14471"/>
    <cellStyle name="Normal 6 2 10" xfId="14472"/>
    <cellStyle name="Normal 6 2 10 2" xfId="14473"/>
    <cellStyle name="Normal 6 2 11" xfId="14474"/>
    <cellStyle name="Normal 6 2 2" xfId="14475"/>
    <cellStyle name="Normal 6 2 2 10" xfId="14476"/>
    <cellStyle name="Normal 6 2 2 2" xfId="14477"/>
    <cellStyle name="Normal 6 2 2 2 2" xfId="14478"/>
    <cellStyle name="Normal 6 2 2 2 2 2" xfId="14479"/>
    <cellStyle name="Normal 6 2 2 2 2 2 2" xfId="14480"/>
    <cellStyle name="Normal 6 2 2 2 2 2 2 2" xfId="14481"/>
    <cellStyle name="Normal 6 2 2 2 2 2 2 2 2" xfId="14482"/>
    <cellStyle name="Normal 6 2 2 2 2 2 2 2 2 2" xfId="14483"/>
    <cellStyle name="Normal 6 2 2 2 2 2 2 2 2 2 2" xfId="14484"/>
    <cellStyle name="Normal 6 2 2 2 2 2 2 2 2 2 2 2" xfId="14485"/>
    <cellStyle name="Normal 6 2 2 2 2 2 2 2 2 2 3" xfId="14486"/>
    <cellStyle name="Normal 6 2 2 2 2 2 2 2 2 3" xfId="14487"/>
    <cellStyle name="Normal 6 2 2 2 2 2 2 2 2 3 2" xfId="14488"/>
    <cellStyle name="Normal 6 2 2 2 2 2 2 2 2 4" xfId="14489"/>
    <cellStyle name="Normal 6 2 2 2 2 2 2 2 3" xfId="14490"/>
    <cellStyle name="Normal 6 2 2 2 2 2 2 2 3 2" xfId="14491"/>
    <cellStyle name="Normal 6 2 2 2 2 2 2 2 3 2 2" xfId="14492"/>
    <cellStyle name="Normal 6 2 2 2 2 2 2 2 3 3" xfId="14493"/>
    <cellStyle name="Normal 6 2 2 2 2 2 2 2 4" xfId="14494"/>
    <cellStyle name="Normal 6 2 2 2 2 2 2 2 4 2" xfId="14495"/>
    <cellStyle name="Normal 6 2 2 2 2 2 2 2 5" xfId="14496"/>
    <cellStyle name="Normal 6 2 2 2 2 2 2 3" xfId="14497"/>
    <cellStyle name="Normal 6 2 2 2 2 2 2 3 2" xfId="14498"/>
    <cellStyle name="Normal 6 2 2 2 2 2 2 3 2 2" xfId="14499"/>
    <cellStyle name="Normal 6 2 2 2 2 2 2 3 2 2 2" xfId="14500"/>
    <cellStyle name="Normal 6 2 2 2 2 2 2 3 2 3" xfId="14501"/>
    <cellStyle name="Normal 6 2 2 2 2 2 2 3 3" xfId="14502"/>
    <cellStyle name="Normal 6 2 2 2 2 2 2 3 3 2" xfId="14503"/>
    <cellStyle name="Normal 6 2 2 2 2 2 2 3 4" xfId="14504"/>
    <cellStyle name="Normal 6 2 2 2 2 2 2 4" xfId="14505"/>
    <cellStyle name="Normal 6 2 2 2 2 2 2 4 2" xfId="14506"/>
    <cellStyle name="Normal 6 2 2 2 2 2 2 4 2 2" xfId="14507"/>
    <cellStyle name="Normal 6 2 2 2 2 2 2 4 3" xfId="14508"/>
    <cellStyle name="Normal 6 2 2 2 2 2 2 5" xfId="14509"/>
    <cellStyle name="Normal 6 2 2 2 2 2 2 5 2" xfId="14510"/>
    <cellStyle name="Normal 6 2 2 2 2 2 2 6" xfId="14511"/>
    <cellStyle name="Normal 6 2 2 2 2 2 3" xfId="14512"/>
    <cellStyle name="Normal 6 2 2 2 2 2 3 2" xfId="14513"/>
    <cellStyle name="Normal 6 2 2 2 2 2 3 2 2" xfId="14514"/>
    <cellStyle name="Normal 6 2 2 2 2 2 3 2 2 2" xfId="14515"/>
    <cellStyle name="Normal 6 2 2 2 2 2 3 2 2 2 2" xfId="14516"/>
    <cellStyle name="Normal 6 2 2 2 2 2 3 2 2 3" xfId="14517"/>
    <cellStyle name="Normal 6 2 2 2 2 2 3 2 3" xfId="14518"/>
    <cellStyle name="Normal 6 2 2 2 2 2 3 2 3 2" xfId="14519"/>
    <cellStyle name="Normal 6 2 2 2 2 2 3 2 4" xfId="14520"/>
    <cellStyle name="Normal 6 2 2 2 2 2 3 3" xfId="14521"/>
    <cellStyle name="Normal 6 2 2 2 2 2 3 3 2" xfId="14522"/>
    <cellStyle name="Normal 6 2 2 2 2 2 3 3 2 2" xfId="14523"/>
    <cellStyle name="Normal 6 2 2 2 2 2 3 3 3" xfId="14524"/>
    <cellStyle name="Normal 6 2 2 2 2 2 3 4" xfId="14525"/>
    <cellStyle name="Normal 6 2 2 2 2 2 3 4 2" xfId="14526"/>
    <cellStyle name="Normal 6 2 2 2 2 2 3 5" xfId="14527"/>
    <cellStyle name="Normal 6 2 2 2 2 2 4" xfId="14528"/>
    <cellStyle name="Normal 6 2 2 2 2 2 4 2" xfId="14529"/>
    <cellStyle name="Normal 6 2 2 2 2 2 4 2 2" xfId="14530"/>
    <cellStyle name="Normal 6 2 2 2 2 2 4 2 2 2" xfId="14531"/>
    <cellStyle name="Normal 6 2 2 2 2 2 4 2 3" xfId="14532"/>
    <cellStyle name="Normal 6 2 2 2 2 2 4 3" xfId="14533"/>
    <cellStyle name="Normal 6 2 2 2 2 2 4 3 2" xfId="14534"/>
    <cellStyle name="Normal 6 2 2 2 2 2 4 4" xfId="14535"/>
    <cellStyle name="Normal 6 2 2 2 2 2 5" xfId="14536"/>
    <cellStyle name="Normal 6 2 2 2 2 2 5 2" xfId="14537"/>
    <cellStyle name="Normal 6 2 2 2 2 2 5 2 2" xfId="14538"/>
    <cellStyle name="Normal 6 2 2 2 2 2 5 3" xfId="14539"/>
    <cellStyle name="Normal 6 2 2 2 2 2 6" xfId="14540"/>
    <cellStyle name="Normal 6 2 2 2 2 2 6 2" xfId="14541"/>
    <cellStyle name="Normal 6 2 2 2 2 2 7" xfId="14542"/>
    <cellStyle name="Normal 6 2 2 2 2 3" xfId="14543"/>
    <cellStyle name="Normal 6 2 2 2 2 3 2" xfId="14544"/>
    <cellStyle name="Normal 6 2 2 2 2 3 2 2" xfId="14545"/>
    <cellStyle name="Normal 6 2 2 2 2 3 2 2 2" xfId="14546"/>
    <cellStyle name="Normal 6 2 2 2 2 3 2 2 2 2" xfId="14547"/>
    <cellStyle name="Normal 6 2 2 2 2 3 2 2 2 2 2" xfId="14548"/>
    <cellStyle name="Normal 6 2 2 2 2 3 2 2 2 3" xfId="14549"/>
    <cellStyle name="Normal 6 2 2 2 2 3 2 2 3" xfId="14550"/>
    <cellStyle name="Normal 6 2 2 2 2 3 2 2 3 2" xfId="14551"/>
    <cellStyle name="Normal 6 2 2 2 2 3 2 2 4" xfId="14552"/>
    <cellStyle name="Normal 6 2 2 2 2 3 2 3" xfId="14553"/>
    <cellStyle name="Normal 6 2 2 2 2 3 2 3 2" xfId="14554"/>
    <cellStyle name="Normal 6 2 2 2 2 3 2 3 2 2" xfId="14555"/>
    <cellStyle name="Normal 6 2 2 2 2 3 2 3 3" xfId="14556"/>
    <cellStyle name="Normal 6 2 2 2 2 3 2 4" xfId="14557"/>
    <cellStyle name="Normal 6 2 2 2 2 3 2 4 2" xfId="14558"/>
    <cellStyle name="Normal 6 2 2 2 2 3 2 5" xfId="14559"/>
    <cellStyle name="Normal 6 2 2 2 2 3 3" xfId="14560"/>
    <cellStyle name="Normal 6 2 2 2 2 3 3 2" xfId="14561"/>
    <cellStyle name="Normal 6 2 2 2 2 3 3 2 2" xfId="14562"/>
    <cellStyle name="Normal 6 2 2 2 2 3 3 2 2 2" xfId="14563"/>
    <cellStyle name="Normal 6 2 2 2 2 3 3 2 3" xfId="14564"/>
    <cellStyle name="Normal 6 2 2 2 2 3 3 3" xfId="14565"/>
    <cellStyle name="Normal 6 2 2 2 2 3 3 3 2" xfId="14566"/>
    <cellStyle name="Normal 6 2 2 2 2 3 3 4" xfId="14567"/>
    <cellStyle name="Normal 6 2 2 2 2 3 4" xfId="14568"/>
    <cellStyle name="Normal 6 2 2 2 2 3 4 2" xfId="14569"/>
    <cellStyle name="Normal 6 2 2 2 2 3 4 2 2" xfId="14570"/>
    <cellStyle name="Normal 6 2 2 2 2 3 4 3" xfId="14571"/>
    <cellStyle name="Normal 6 2 2 2 2 3 5" xfId="14572"/>
    <cellStyle name="Normal 6 2 2 2 2 3 5 2" xfId="14573"/>
    <cellStyle name="Normal 6 2 2 2 2 3 6" xfId="14574"/>
    <cellStyle name="Normal 6 2 2 2 2 4" xfId="14575"/>
    <cellStyle name="Normal 6 2 2 2 2 4 2" xfId="14576"/>
    <cellStyle name="Normal 6 2 2 2 2 4 2 2" xfId="14577"/>
    <cellStyle name="Normal 6 2 2 2 2 4 2 2 2" xfId="14578"/>
    <cellStyle name="Normal 6 2 2 2 2 4 2 2 2 2" xfId="14579"/>
    <cellStyle name="Normal 6 2 2 2 2 4 2 2 3" xfId="14580"/>
    <cellStyle name="Normal 6 2 2 2 2 4 2 3" xfId="14581"/>
    <cellStyle name="Normal 6 2 2 2 2 4 2 3 2" xfId="14582"/>
    <cellStyle name="Normal 6 2 2 2 2 4 2 4" xfId="14583"/>
    <cellStyle name="Normal 6 2 2 2 2 4 3" xfId="14584"/>
    <cellStyle name="Normal 6 2 2 2 2 4 3 2" xfId="14585"/>
    <cellStyle name="Normal 6 2 2 2 2 4 3 2 2" xfId="14586"/>
    <cellStyle name="Normal 6 2 2 2 2 4 3 3" xfId="14587"/>
    <cellStyle name="Normal 6 2 2 2 2 4 4" xfId="14588"/>
    <cellStyle name="Normal 6 2 2 2 2 4 4 2" xfId="14589"/>
    <cellStyle name="Normal 6 2 2 2 2 4 5" xfId="14590"/>
    <cellStyle name="Normal 6 2 2 2 2 5" xfId="14591"/>
    <cellStyle name="Normal 6 2 2 2 2 5 2" xfId="14592"/>
    <cellStyle name="Normal 6 2 2 2 2 5 2 2" xfId="14593"/>
    <cellStyle name="Normal 6 2 2 2 2 5 2 2 2" xfId="14594"/>
    <cellStyle name="Normal 6 2 2 2 2 5 2 3" xfId="14595"/>
    <cellStyle name="Normal 6 2 2 2 2 5 3" xfId="14596"/>
    <cellStyle name="Normal 6 2 2 2 2 5 3 2" xfId="14597"/>
    <cellStyle name="Normal 6 2 2 2 2 5 4" xfId="14598"/>
    <cellStyle name="Normal 6 2 2 2 2 6" xfId="14599"/>
    <cellStyle name="Normal 6 2 2 2 2 6 2" xfId="14600"/>
    <cellStyle name="Normal 6 2 2 2 2 6 2 2" xfId="14601"/>
    <cellStyle name="Normal 6 2 2 2 2 6 3" xfId="14602"/>
    <cellStyle name="Normal 6 2 2 2 2 7" xfId="14603"/>
    <cellStyle name="Normal 6 2 2 2 2 7 2" xfId="14604"/>
    <cellStyle name="Normal 6 2 2 2 2 8" xfId="14605"/>
    <cellStyle name="Normal 6 2 2 2 3" xfId="14606"/>
    <cellStyle name="Normal 6 2 2 2 3 2" xfId="14607"/>
    <cellStyle name="Normal 6 2 2 2 3 2 2" xfId="14608"/>
    <cellStyle name="Normal 6 2 2 2 3 2 2 2" xfId="14609"/>
    <cellStyle name="Normal 6 2 2 2 3 2 2 2 2" xfId="14610"/>
    <cellStyle name="Normal 6 2 2 2 3 2 2 2 2 2" xfId="14611"/>
    <cellStyle name="Normal 6 2 2 2 3 2 2 2 2 2 2" xfId="14612"/>
    <cellStyle name="Normal 6 2 2 2 3 2 2 2 2 3" xfId="14613"/>
    <cellStyle name="Normal 6 2 2 2 3 2 2 2 3" xfId="14614"/>
    <cellStyle name="Normal 6 2 2 2 3 2 2 2 3 2" xfId="14615"/>
    <cellStyle name="Normal 6 2 2 2 3 2 2 2 4" xfId="14616"/>
    <cellStyle name="Normal 6 2 2 2 3 2 2 3" xfId="14617"/>
    <cellStyle name="Normal 6 2 2 2 3 2 2 3 2" xfId="14618"/>
    <cellStyle name="Normal 6 2 2 2 3 2 2 3 2 2" xfId="14619"/>
    <cellStyle name="Normal 6 2 2 2 3 2 2 3 3" xfId="14620"/>
    <cellStyle name="Normal 6 2 2 2 3 2 2 4" xfId="14621"/>
    <cellStyle name="Normal 6 2 2 2 3 2 2 4 2" xfId="14622"/>
    <cellStyle name="Normal 6 2 2 2 3 2 2 5" xfId="14623"/>
    <cellStyle name="Normal 6 2 2 2 3 2 3" xfId="14624"/>
    <cellStyle name="Normal 6 2 2 2 3 2 3 2" xfId="14625"/>
    <cellStyle name="Normal 6 2 2 2 3 2 3 2 2" xfId="14626"/>
    <cellStyle name="Normal 6 2 2 2 3 2 3 2 2 2" xfId="14627"/>
    <cellStyle name="Normal 6 2 2 2 3 2 3 2 3" xfId="14628"/>
    <cellStyle name="Normal 6 2 2 2 3 2 3 3" xfId="14629"/>
    <cellStyle name="Normal 6 2 2 2 3 2 3 3 2" xfId="14630"/>
    <cellStyle name="Normal 6 2 2 2 3 2 3 4" xfId="14631"/>
    <cellStyle name="Normal 6 2 2 2 3 2 4" xfId="14632"/>
    <cellStyle name="Normal 6 2 2 2 3 2 4 2" xfId="14633"/>
    <cellStyle name="Normal 6 2 2 2 3 2 4 2 2" xfId="14634"/>
    <cellStyle name="Normal 6 2 2 2 3 2 4 3" xfId="14635"/>
    <cellStyle name="Normal 6 2 2 2 3 2 5" xfId="14636"/>
    <cellStyle name="Normal 6 2 2 2 3 2 5 2" xfId="14637"/>
    <cellStyle name="Normal 6 2 2 2 3 2 6" xfId="14638"/>
    <cellStyle name="Normal 6 2 2 2 3 3" xfId="14639"/>
    <cellStyle name="Normal 6 2 2 2 3 3 2" xfId="14640"/>
    <cellStyle name="Normal 6 2 2 2 3 3 2 2" xfId="14641"/>
    <cellStyle name="Normal 6 2 2 2 3 3 2 2 2" xfId="14642"/>
    <cellStyle name="Normal 6 2 2 2 3 3 2 2 2 2" xfId="14643"/>
    <cellStyle name="Normal 6 2 2 2 3 3 2 2 3" xfId="14644"/>
    <cellStyle name="Normal 6 2 2 2 3 3 2 3" xfId="14645"/>
    <cellStyle name="Normal 6 2 2 2 3 3 2 3 2" xfId="14646"/>
    <cellStyle name="Normal 6 2 2 2 3 3 2 4" xfId="14647"/>
    <cellStyle name="Normal 6 2 2 2 3 3 3" xfId="14648"/>
    <cellStyle name="Normal 6 2 2 2 3 3 3 2" xfId="14649"/>
    <cellStyle name="Normal 6 2 2 2 3 3 3 2 2" xfId="14650"/>
    <cellStyle name="Normal 6 2 2 2 3 3 3 3" xfId="14651"/>
    <cellStyle name="Normal 6 2 2 2 3 3 4" xfId="14652"/>
    <cellStyle name="Normal 6 2 2 2 3 3 4 2" xfId="14653"/>
    <cellStyle name="Normal 6 2 2 2 3 3 5" xfId="14654"/>
    <cellStyle name="Normal 6 2 2 2 3 4" xfId="14655"/>
    <cellStyle name="Normal 6 2 2 2 3 4 2" xfId="14656"/>
    <cellStyle name="Normal 6 2 2 2 3 4 2 2" xfId="14657"/>
    <cellStyle name="Normal 6 2 2 2 3 4 2 2 2" xfId="14658"/>
    <cellStyle name="Normal 6 2 2 2 3 4 2 3" xfId="14659"/>
    <cellStyle name="Normal 6 2 2 2 3 4 3" xfId="14660"/>
    <cellStyle name="Normal 6 2 2 2 3 4 3 2" xfId="14661"/>
    <cellStyle name="Normal 6 2 2 2 3 4 4" xfId="14662"/>
    <cellStyle name="Normal 6 2 2 2 3 5" xfId="14663"/>
    <cellStyle name="Normal 6 2 2 2 3 5 2" xfId="14664"/>
    <cellStyle name="Normal 6 2 2 2 3 5 2 2" xfId="14665"/>
    <cellStyle name="Normal 6 2 2 2 3 5 3" xfId="14666"/>
    <cellStyle name="Normal 6 2 2 2 3 6" xfId="14667"/>
    <cellStyle name="Normal 6 2 2 2 3 6 2" xfId="14668"/>
    <cellStyle name="Normal 6 2 2 2 3 7" xfId="14669"/>
    <cellStyle name="Normal 6 2 2 2 4" xfId="14670"/>
    <cellStyle name="Normal 6 2 2 2 4 2" xfId="14671"/>
    <cellStyle name="Normal 6 2 2 2 4 2 2" xfId="14672"/>
    <cellStyle name="Normal 6 2 2 2 4 2 2 2" xfId="14673"/>
    <cellStyle name="Normal 6 2 2 2 4 2 2 2 2" xfId="14674"/>
    <cellStyle name="Normal 6 2 2 2 4 2 2 2 2 2" xfId="14675"/>
    <cellStyle name="Normal 6 2 2 2 4 2 2 2 3" xfId="14676"/>
    <cellStyle name="Normal 6 2 2 2 4 2 2 3" xfId="14677"/>
    <cellStyle name="Normal 6 2 2 2 4 2 2 3 2" xfId="14678"/>
    <cellStyle name="Normal 6 2 2 2 4 2 2 4" xfId="14679"/>
    <cellStyle name="Normal 6 2 2 2 4 2 3" xfId="14680"/>
    <cellStyle name="Normal 6 2 2 2 4 2 3 2" xfId="14681"/>
    <cellStyle name="Normal 6 2 2 2 4 2 3 2 2" xfId="14682"/>
    <cellStyle name="Normal 6 2 2 2 4 2 3 3" xfId="14683"/>
    <cellStyle name="Normal 6 2 2 2 4 2 4" xfId="14684"/>
    <cellStyle name="Normal 6 2 2 2 4 2 4 2" xfId="14685"/>
    <cellStyle name="Normal 6 2 2 2 4 2 5" xfId="14686"/>
    <cellStyle name="Normal 6 2 2 2 4 3" xfId="14687"/>
    <cellStyle name="Normal 6 2 2 2 4 3 2" xfId="14688"/>
    <cellStyle name="Normal 6 2 2 2 4 3 2 2" xfId="14689"/>
    <cellStyle name="Normal 6 2 2 2 4 3 2 2 2" xfId="14690"/>
    <cellStyle name="Normal 6 2 2 2 4 3 2 3" xfId="14691"/>
    <cellStyle name="Normal 6 2 2 2 4 3 3" xfId="14692"/>
    <cellStyle name="Normal 6 2 2 2 4 3 3 2" xfId="14693"/>
    <cellStyle name="Normal 6 2 2 2 4 3 4" xfId="14694"/>
    <cellStyle name="Normal 6 2 2 2 4 4" xfId="14695"/>
    <cellStyle name="Normal 6 2 2 2 4 4 2" xfId="14696"/>
    <cellStyle name="Normal 6 2 2 2 4 4 2 2" xfId="14697"/>
    <cellStyle name="Normal 6 2 2 2 4 4 3" xfId="14698"/>
    <cellStyle name="Normal 6 2 2 2 4 5" xfId="14699"/>
    <cellStyle name="Normal 6 2 2 2 4 5 2" xfId="14700"/>
    <cellStyle name="Normal 6 2 2 2 4 6" xfId="14701"/>
    <cellStyle name="Normal 6 2 2 2 5" xfId="14702"/>
    <cellStyle name="Normal 6 2 2 2 5 2" xfId="14703"/>
    <cellStyle name="Normal 6 2 2 2 5 2 2" xfId="14704"/>
    <cellStyle name="Normal 6 2 2 2 5 2 2 2" xfId="14705"/>
    <cellStyle name="Normal 6 2 2 2 5 2 2 2 2" xfId="14706"/>
    <cellStyle name="Normal 6 2 2 2 5 2 2 3" xfId="14707"/>
    <cellStyle name="Normal 6 2 2 2 5 2 3" xfId="14708"/>
    <cellStyle name="Normal 6 2 2 2 5 2 3 2" xfId="14709"/>
    <cellStyle name="Normal 6 2 2 2 5 2 4" xfId="14710"/>
    <cellStyle name="Normal 6 2 2 2 5 3" xfId="14711"/>
    <cellStyle name="Normal 6 2 2 2 5 3 2" xfId="14712"/>
    <cellStyle name="Normal 6 2 2 2 5 3 2 2" xfId="14713"/>
    <cellStyle name="Normal 6 2 2 2 5 3 3" xfId="14714"/>
    <cellStyle name="Normal 6 2 2 2 5 4" xfId="14715"/>
    <cellStyle name="Normal 6 2 2 2 5 4 2" xfId="14716"/>
    <cellStyle name="Normal 6 2 2 2 5 5" xfId="14717"/>
    <cellStyle name="Normal 6 2 2 2 6" xfId="14718"/>
    <cellStyle name="Normal 6 2 2 2 6 2" xfId="14719"/>
    <cellStyle name="Normal 6 2 2 2 6 2 2" xfId="14720"/>
    <cellStyle name="Normal 6 2 2 2 6 2 2 2" xfId="14721"/>
    <cellStyle name="Normal 6 2 2 2 6 2 3" xfId="14722"/>
    <cellStyle name="Normal 6 2 2 2 6 3" xfId="14723"/>
    <cellStyle name="Normal 6 2 2 2 6 3 2" xfId="14724"/>
    <cellStyle name="Normal 6 2 2 2 6 4" xfId="14725"/>
    <cellStyle name="Normal 6 2 2 2 7" xfId="14726"/>
    <cellStyle name="Normal 6 2 2 2 7 2" xfId="14727"/>
    <cellStyle name="Normal 6 2 2 2 7 2 2" xfId="14728"/>
    <cellStyle name="Normal 6 2 2 2 7 3" xfId="14729"/>
    <cellStyle name="Normal 6 2 2 2 8" xfId="14730"/>
    <cellStyle name="Normal 6 2 2 2 8 2" xfId="14731"/>
    <cellStyle name="Normal 6 2 2 2 9" xfId="14732"/>
    <cellStyle name="Normal 6 2 2 3" xfId="14733"/>
    <cellStyle name="Normal 6 2 2 3 2" xfId="14734"/>
    <cellStyle name="Normal 6 2 2 3 2 2" xfId="14735"/>
    <cellStyle name="Normal 6 2 2 3 2 2 2" xfId="14736"/>
    <cellStyle name="Normal 6 2 2 3 2 2 2 2" xfId="14737"/>
    <cellStyle name="Normal 6 2 2 3 2 2 2 2 2" xfId="14738"/>
    <cellStyle name="Normal 6 2 2 3 2 2 2 2 2 2" xfId="14739"/>
    <cellStyle name="Normal 6 2 2 3 2 2 2 2 2 2 2" xfId="14740"/>
    <cellStyle name="Normal 6 2 2 3 2 2 2 2 2 3" xfId="14741"/>
    <cellStyle name="Normal 6 2 2 3 2 2 2 2 3" xfId="14742"/>
    <cellStyle name="Normal 6 2 2 3 2 2 2 2 3 2" xfId="14743"/>
    <cellStyle name="Normal 6 2 2 3 2 2 2 2 4" xfId="14744"/>
    <cellStyle name="Normal 6 2 2 3 2 2 2 3" xfId="14745"/>
    <cellStyle name="Normal 6 2 2 3 2 2 2 3 2" xfId="14746"/>
    <cellStyle name="Normal 6 2 2 3 2 2 2 3 2 2" xfId="14747"/>
    <cellStyle name="Normal 6 2 2 3 2 2 2 3 3" xfId="14748"/>
    <cellStyle name="Normal 6 2 2 3 2 2 2 4" xfId="14749"/>
    <cellStyle name="Normal 6 2 2 3 2 2 2 4 2" xfId="14750"/>
    <cellStyle name="Normal 6 2 2 3 2 2 2 5" xfId="14751"/>
    <cellStyle name="Normal 6 2 2 3 2 2 3" xfId="14752"/>
    <cellStyle name="Normal 6 2 2 3 2 2 3 2" xfId="14753"/>
    <cellStyle name="Normal 6 2 2 3 2 2 3 2 2" xfId="14754"/>
    <cellStyle name="Normal 6 2 2 3 2 2 3 2 2 2" xfId="14755"/>
    <cellStyle name="Normal 6 2 2 3 2 2 3 2 3" xfId="14756"/>
    <cellStyle name="Normal 6 2 2 3 2 2 3 3" xfId="14757"/>
    <cellStyle name="Normal 6 2 2 3 2 2 3 3 2" xfId="14758"/>
    <cellStyle name="Normal 6 2 2 3 2 2 3 4" xfId="14759"/>
    <cellStyle name="Normal 6 2 2 3 2 2 4" xfId="14760"/>
    <cellStyle name="Normal 6 2 2 3 2 2 4 2" xfId="14761"/>
    <cellStyle name="Normal 6 2 2 3 2 2 4 2 2" xfId="14762"/>
    <cellStyle name="Normal 6 2 2 3 2 2 4 3" xfId="14763"/>
    <cellStyle name="Normal 6 2 2 3 2 2 5" xfId="14764"/>
    <cellStyle name="Normal 6 2 2 3 2 2 5 2" xfId="14765"/>
    <cellStyle name="Normal 6 2 2 3 2 2 6" xfId="14766"/>
    <cellStyle name="Normal 6 2 2 3 2 3" xfId="14767"/>
    <cellStyle name="Normal 6 2 2 3 2 3 2" xfId="14768"/>
    <cellStyle name="Normal 6 2 2 3 2 3 2 2" xfId="14769"/>
    <cellStyle name="Normal 6 2 2 3 2 3 2 2 2" xfId="14770"/>
    <cellStyle name="Normal 6 2 2 3 2 3 2 2 2 2" xfId="14771"/>
    <cellStyle name="Normal 6 2 2 3 2 3 2 2 3" xfId="14772"/>
    <cellStyle name="Normal 6 2 2 3 2 3 2 3" xfId="14773"/>
    <cellStyle name="Normal 6 2 2 3 2 3 2 3 2" xfId="14774"/>
    <cellStyle name="Normal 6 2 2 3 2 3 2 4" xfId="14775"/>
    <cellStyle name="Normal 6 2 2 3 2 3 3" xfId="14776"/>
    <cellStyle name="Normal 6 2 2 3 2 3 3 2" xfId="14777"/>
    <cellStyle name="Normal 6 2 2 3 2 3 3 2 2" xfId="14778"/>
    <cellStyle name="Normal 6 2 2 3 2 3 3 3" xfId="14779"/>
    <cellStyle name="Normal 6 2 2 3 2 3 4" xfId="14780"/>
    <cellStyle name="Normal 6 2 2 3 2 3 4 2" xfId="14781"/>
    <cellStyle name="Normal 6 2 2 3 2 3 5" xfId="14782"/>
    <cellStyle name="Normal 6 2 2 3 2 4" xfId="14783"/>
    <cellStyle name="Normal 6 2 2 3 2 4 2" xfId="14784"/>
    <cellStyle name="Normal 6 2 2 3 2 4 2 2" xfId="14785"/>
    <cellStyle name="Normal 6 2 2 3 2 4 2 2 2" xfId="14786"/>
    <cellStyle name="Normal 6 2 2 3 2 4 2 3" xfId="14787"/>
    <cellStyle name="Normal 6 2 2 3 2 4 3" xfId="14788"/>
    <cellStyle name="Normal 6 2 2 3 2 4 3 2" xfId="14789"/>
    <cellStyle name="Normal 6 2 2 3 2 4 4" xfId="14790"/>
    <cellStyle name="Normal 6 2 2 3 2 5" xfId="14791"/>
    <cellStyle name="Normal 6 2 2 3 2 5 2" xfId="14792"/>
    <cellStyle name="Normal 6 2 2 3 2 5 2 2" xfId="14793"/>
    <cellStyle name="Normal 6 2 2 3 2 5 3" xfId="14794"/>
    <cellStyle name="Normal 6 2 2 3 2 6" xfId="14795"/>
    <cellStyle name="Normal 6 2 2 3 2 6 2" xfId="14796"/>
    <cellStyle name="Normal 6 2 2 3 2 7" xfId="14797"/>
    <cellStyle name="Normal 6 2 2 3 3" xfId="14798"/>
    <cellStyle name="Normal 6 2 2 3 3 2" xfId="14799"/>
    <cellStyle name="Normal 6 2 2 3 3 2 2" xfId="14800"/>
    <cellStyle name="Normal 6 2 2 3 3 2 2 2" xfId="14801"/>
    <cellStyle name="Normal 6 2 2 3 3 2 2 2 2" xfId="14802"/>
    <cellStyle name="Normal 6 2 2 3 3 2 2 2 2 2" xfId="14803"/>
    <cellStyle name="Normal 6 2 2 3 3 2 2 2 3" xfId="14804"/>
    <cellStyle name="Normal 6 2 2 3 3 2 2 3" xfId="14805"/>
    <cellStyle name="Normal 6 2 2 3 3 2 2 3 2" xfId="14806"/>
    <cellStyle name="Normal 6 2 2 3 3 2 2 4" xfId="14807"/>
    <cellStyle name="Normal 6 2 2 3 3 2 3" xfId="14808"/>
    <cellStyle name="Normal 6 2 2 3 3 2 3 2" xfId="14809"/>
    <cellStyle name="Normal 6 2 2 3 3 2 3 2 2" xfId="14810"/>
    <cellStyle name="Normal 6 2 2 3 3 2 3 3" xfId="14811"/>
    <cellStyle name="Normal 6 2 2 3 3 2 4" xfId="14812"/>
    <cellStyle name="Normal 6 2 2 3 3 2 4 2" xfId="14813"/>
    <cellStyle name="Normal 6 2 2 3 3 2 5" xfId="14814"/>
    <cellStyle name="Normal 6 2 2 3 3 3" xfId="14815"/>
    <cellStyle name="Normal 6 2 2 3 3 3 2" xfId="14816"/>
    <cellStyle name="Normal 6 2 2 3 3 3 2 2" xfId="14817"/>
    <cellStyle name="Normal 6 2 2 3 3 3 2 2 2" xfId="14818"/>
    <cellStyle name="Normal 6 2 2 3 3 3 2 3" xfId="14819"/>
    <cellStyle name="Normal 6 2 2 3 3 3 3" xfId="14820"/>
    <cellStyle name="Normal 6 2 2 3 3 3 3 2" xfId="14821"/>
    <cellStyle name="Normal 6 2 2 3 3 3 4" xfId="14822"/>
    <cellStyle name="Normal 6 2 2 3 3 4" xfId="14823"/>
    <cellStyle name="Normal 6 2 2 3 3 4 2" xfId="14824"/>
    <cellStyle name="Normal 6 2 2 3 3 4 2 2" xfId="14825"/>
    <cellStyle name="Normal 6 2 2 3 3 4 3" xfId="14826"/>
    <cellStyle name="Normal 6 2 2 3 3 5" xfId="14827"/>
    <cellStyle name="Normal 6 2 2 3 3 5 2" xfId="14828"/>
    <cellStyle name="Normal 6 2 2 3 3 6" xfId="14829"/>
    <cellStyle name="Normal 6 2 2 3 4" xfId="14830"/>
    <cellStyle name="Normal 6 2 2 3 4 2" xfId="14831"/>
    <cellStyle name="Normal 6 2 2 3 4 2 2" xfId="14832"/>
    <cellStyle name="Normal 6 2 2 3 4 2 2 2" xfId="14833"/>
    <cellStyle name="Normal 6 2 2 3 4 2 2 2 2" xfId="14834"/>
    <cellStyle name="Normal 6 2 2 3 4 2 2 3" xfId="14835"/>
    <cellStyle name="Normal 6 2 2 3 4 2 3" xfId="14836"/>
    <cellStyle name="Normal 6 2 2 3 4 2 3 2" xfId="14837"/>
    <cellStyle name="Normal 6 2 2 3 4 2 4" xfId="14838"/>
    <cellStyle name="Normal 6 2 2 3 4 3" xfId="14839"/>
    <cellStyle name="Normal 6 2 2 3 4 3 2" xfId="14840"/>
    <cellStyle name="Normal 6 2 2 3 4 3 2 2" xfId="14841"/>
    <cellStyle name="Normal 6 2 2 3 4 3 3" xfId="14842"/>
    <cellStyle name="Normal 6 2 2 3 4 4" xfId="14843"/>
    <cellStyle name="Normal 6 2 2 3 4 4 2" xfId="14844"/>
    <cellStyle name="Normal 6 2 2 3 4 5" xfId="14845"/>
    <cellStyle name="Normal 6 2 2 3 5" xfId="14846"/>
    <cellStyle name="Normal 6 2 2 3 5 2" xfId="14847"/>
    <cellStyle name="Normal 6 2 2 3 5 2 2" xfId="14848"/>
    <cellStyle name="Normal 6 2 2 3 5 2 2 2" xfId="14849"/>
    <cellStyle name="Normal 6 2 2 3 5 2 3" xfId="14850"/>
    <cellStyle name="Normal 6 2 2 3 5 3" xfId="14851"/>
    <cellStyle name="Normal 6 2 2 3 5 3 2" xfId="14852"/>
    <cellStyle name="Normal 6 2 2 3 5 4" xfId="14853"/>
    <cellStyle name="Normal 6 2 2 3 6" xfId="14854"/>
    <cellStyle name="Normal 6 2 2 3 6 2" xfId="14855"/>
    <cellStyle name="Normal 6 2 2 3 6 2 2" xfId="14856"/>
    <cellStyle name="Normal 6 2 2 3 6 3" xfId="14857"/>
    <cellStyle name="Normal 6 2 2 3 7" xfId="14858"/>
    <cellStyle name="Normal 6 2 2 3 7 2" xfId="14859"/>
    <cellStyle name="Normal 6 2 2 3 8" xfId="14860"/>
    <cellStyle name="Normal 6 2 2 4" xfId="14861"/>
    <cellStyle name="Normal 6 2 2 4 2" xfId="14862"/>
    <cellStyle name="Normal 6 2 2 4 2 2" xfId="14863"/>
    <cellStyle name="Normal 6 2 2 4 2 2 2" xfId="14864"/>
    <cellStyle name="Normal 6 2 2 4 2 2 2 2" xfId="14865"/>
    <cellStyle name="Normal 6 2 2 4 2 2 2 2 2" xfId="14866"/>
    <cellStyle name="Normal 6 2 2 4 2 2 2 2 2 2" xfId="14867"/>
    <cellStyle name="Normal 6 2 2 4 2 2 2 2 3" xfId="14868"/>
    <cellStyle name="Normal 6 2 2 4 2 2 2 3" xfId="14869"/>
    <cellStyle name="Normal 6 2 2 4 2 2 2 3 2" xfId="14870"/>
    <cellStyle name="Normal 6 2 2 4 2 2 2 4" xfId="14871"/>
    <cellStyle name="Normal 6 2 2 4 2 2 3" xfId="14872"/>
    <cellStyle name="Normal 6 2 2 4 2 2 3 2" xfId="14873"/>
    <cellStyle name="Normal 6 2 2 4 2 2 3 2 2" xfId="14874"/>
    <cellStyle name="Normal 6 2 2 4 2 2 3 3" xfId="14875"/>
    <cellStyle name="Normal 6 2 2 4 2 2 4" xfId="14876"/>
    <cellStyle name="Normal 6 2 2 4 2 2 4 2" xfId="14877"/>
    <cellStyle name="Normal 6 2 2 4 2 2 5" xfId="14878"/>
    <cellStyle name="Normal 6 2 2 4 2 3" xfId="14879"/>
    <cellStyle name="Normal 6 2 2 4 2 3 2" xfId="14880"/>
    <cellStyle name="Normal 6 2 2 4 2 3 2 2" xfId="14881"/>
    <cellStyle name="Normal 6 2 2 4 2 3 2 2 2" xfId="14882"/>
    <cellStyle name="Normal 6 2 2 4 2 3 2 3" xfId="14883"/>
    <cellStyle name="Normal 6 2 2 4 2 3 3" xfId="14884"/>
    <cellStyle name="Normal 6 2 2 4 2 3 3 2" xfId="14885"/>
    <cellStyle name="Normal 6 2 2 4 2 3 4" xfId="14886"/>
    <cellStyle name="Normal 6 2 2 4 2 4" xfId="14887"/>
    <cellStyle name="Normal 6 2 2 4 2 4 2" xfId="14888"/>
    <cellStyle name="Normal 6 2 2 4 2 4 2 2" xfId="14889"/>
    <cellStyle name="Normal 6 2 2 4 2 4 3" xfId="14890"/>
    <cellStyle name="Normal 6 2 2 4 2 5" xfId="14891"/>
    <cellStyle name="Normal 6 2 2 4 2 5 2" xfId="14892"/>
    <cellStyle name="Normal 6 2 2 4 2 6" xfId="14893"/>
    <cellStyle name="Normal 6 2 2 4 3" xfId="14894"/>
    <cellStyle name="Normal 6 2 2 4 3 2" xfId="14895"/>
    <cellStyle name="Normal 6 2 2 4 3 2 2" xfId="14896"/>
    <cellStyle name="Normal 6 2 2 4 3 2 2 2" xfId="14897"/>
    <cellStyle name="Normal 6 2 2 4 3 2 2 2 2" xfId="14898"/>
    <cellStyle name="Normal 6 2 2 4 3 2 2 3" xfId="14899"/>
    <cellStyle name="Normal 6 2 2 4 3 2 3" xfId="14900"/>
    <cellStyle name="Normal 6 2 2 4 3 2 3 2" xfId="14901"/>
    <cellStyle name="Normal 6 2 2 4 3 2 4" xfId="14902"/>
    <cellStyle name="Normal 6 2 2 4 3 3" xfId="14903"/>
    <cellStyle name="Normal 6 2 2 4 3 3 2" xfId="14904"/>
    <cellStyle name="Normal 6 2 2 4 3 3 2 2" xfId="14905"/>
    <cellStyle name="Normal 6 2 2 4 3 3 3" xfId="14906"/>
    <cellStyle name="Normal 6 2 2 4 3 4" xfId="14907"/>
    <cellStyle name="Normal 6 2 2 4 3 4 2" xfId="14908"/>
    <cellStyle name="Normal 6 2 2 4 3 5" xfId="14909"/>
    <cellStyle name="Normal 6 2 2 4 4" xfId="14910"/>
    <cellStyle name="Normal 6 2 2 4 4 2" xfId="14911"/>
    <cellStyle name="Normal 6 2 2 4 4 2 2" xfId="14912"/>
    <cellStyle name="Normal 6 2 2 4 4 2 2 2" xfId="14913"/>
    <cellStyle name="Normal 6 2 2 4 4 2 3" xfId="14914"/>
    <cellStyle name="Normal 6 2 2 4 4 3" xfId="14915"/>
    <cellStyle name="Normal 6 2 2 4 4 3 2" xfId="14916"/>
    <cellStyle name="Normal 6 2 2 4 4 4" xfId="14917"/>
    <cellStyle name="Normal 6 2 2 4 5" xfId="14918"/>
    <cellStyle name="Normal 6 2 2 4 5 2" xfId="14919"/>
    <cellStyle name="Normal 6 2 2 4 5 2 2" xfId="14920"/>
    <cellStyle name="Normal 6 2 2 4 5 3" xfId="14921"/>
    <cellStyle name="Normal 6 2 2 4 6" xfId="14922"/>
    <cellStyle name="Normal 6 2 2 4 6 2" xfId="14923"/>
    <cellStyle name="Normal 6 2 2 4 7" xfId="14924"/>
    <cellStyle name="Normal 6 2 2 5" xfId="14925"/>
    <cellStyle name="Normal 6 2 2 5 2" xfId="14926"/>
    <cellStyle name="Normal 6 2 2 5 2 2" xfId="14927"/>
    <cellStyle name="Normal 6 2 2 5 2 2 2" xfId="14928"/>
    <cellStyle name="Normal 6 2 2 5 2 2 2 2" xfId="14929"/>
    <cellStyle name="Normal 6 2 2 5 2 2 2 2 2" xfId="14930"/>
    <cellStyle name="Normal 6 2 2 5 2 2 2 3" xfId="14931"/>
    <cellStyle name="Normal 6 2 2 5 2 2 3" xfId="14932"/>
    <cellStyle name="Normal 6 2 2 5 2 2 3 2" xfId="14933"/>
    <cellStyle name="Normal 6 2 2 5 2 2 4" xfId="14934"/>
    <cellStyle name="Normal 6 2 2 5 2 3" xfId="14935"/>
    <cellStyle name="Normal 6 2 2 5 2 3 2" xfId="14936"/>
    <cellStyle name="Normal 6 2 2 5 2 3 2 2" xfId="14937"/>
    <cellStyle name="Normal 6 2 2 5 2 3 3" xfId="14938"/>
    <cellStyle name="Normal 6 2 2 5 2 4" xfId="14939"/>
    <cellStyle name="Normal 6 2 2 5 2 4 2" xfId="14940"/>
    <cellStyle name="Normal 6 2 2 5 2 5" xfId="14941"/>
    <cellStyle name="Normal 6 2 2 5 3" xfId="14942"/>
    <cellStyle name="Normal 6 2 2 5 3 2" xfId="14943"/>
    <cellStyle name="Normal 6 2 2 5 3 2 2" xfId="14944"/>
    <cellStyle name="Normal 6 2 2 5 3 2 2 2" xfId="14945"/>
    <cellStyle name="Normal 6 2 2 5 3 2 3" xfId="14946"/>
    <cellStyle name="Normal 6 2 2 5 3 3" xfId="14947"/>
    <cellStyle name="Normal 6 2 2 5 3 3 2" xfId="14948"/>
    <cellStyle name="Normal 6 2 2 5 3 4" xfId="14949"/>
    <cellStyle name="Normal 6 2 2 5 4" xfId="14950"/>
    <cellStyle name="Normal 6 2 2 5 4 2" xfId="14951"/>
    <cellStyle name="Normal 6 2 2 5 4 2 2" xfId="14952"/>
    <cellStyle name="Normal 6 2 2 5 4 3" xfId="14953"/>
    <cellStyle name="Normal 6 2 2 5 5" xfId="14954"/>
    <cellStyle name="Normal 6 2 2 5 5 2" xfId="14955"/>
    <cellStyle name="Normal 6 2 2 5 6" xfId="14956"/>
    <cellStyle name="Normal 6 2 2 6" xfId="14957"/>
    <cellStyle name="Normal 6 2 2 6 2" xfId="14958"/>
    <cellStyle name="Normal 6 2 2 6 2 2" xfId="14959"/>
    <cellStyle name="Normal 6 2 2 6 2 2 2" xfId="14960"/>
    <cellStyle name="Normal 6 2 2 6 2 2 2 2" xfId="14961"/>
    <cellStyle name="Normal 6 2 2 6 2 2 3" xfId="14962"/>
    <cellStyle name="Normal 6 2 2 6 2 3" xfId="14963"/>
    <cellStyle name="Normal 6 2 2 6 2 3 2" xfId="14964"/>
    <cellStyle name="Normal 6 2 2 6 2 4" xfId="14965"/>
    <cellStyle name="Normal 6 2 2 6 3" xfId="14966"/>
    <cellStyle name="Normal 6 2 2 6 3 2" xfId="14967"/>
    <cellStyle name="Normal 6 2 2 6 3 2 2" xfId="14968"/>
    <cellStyle name="Normal 6 2 2 6 3 3" xfId="14969"/>
    <cellStyle name="Normal 6 2 2 6 4" xfId="14970"/>
    <cellStyle name="Normal 6 2 2 6 4 2" xfId="14971"/>
    <cellStyle name="Normal 6 2 2 6 5" xfId="14972"/>
    <cellStyle name="Normal 6 2 2 7" xfId="14973"/>
    <cellStyle name="Normal 6 2 2 7 2" xfId="14974"/>
    <cellStyle name="Normal 6 2 2 7 2 2" xfId="14975"/>
    <cellStyle name="Normal 6 2 2 7 2 2 2" xfId="14976"/>
    <cellStyle name="Normal 6 2 2 7 2 3" xfId="14977"/>
    <cellStyle name="Normal 6 2 2 7 3" xfId="14978"/>
    <cellStyle name="Normal 6 2 2 7 3 2" xfId="14979"/>
    <cellStyle name="Normal 6 2 2 7 4" xfId="14980"/>
    <cellStyle name="Normal 6 2 2 8" xfId="14981"/>
    <cellStyle name="Normal 6 2 2 8 2" xfId="14982"/>
    <cellStyle name="Normal 6 2 2 8 2 2" xfId="14983"/>
    <cellStyle name="Normal 6 2 2 8 3" xfId="14984"/>
    <cellStyle name="Normal 6 2 2 9" xfId="14985"/>
    <cellStyle name="Normal 6 2 2 9 2" xfId="14986"/>
    <cellStyle name="Normal 6 2 3" xfId="14987"/>
    <cellStyle name="Normal 6 2 3 2" xfId="14988"/>
    <cellStyle name="Normal 6 2 3 2 2" xfId="14989"/>
    <cellStyle name="Normal 6 2 3 2 2 2" xfId="14990"/>
    <cellStyle name="Normal 6 2 3 2 2 2 2" xfId="14991"/>
    <cellStyle name="Normal 6 2 3 2 2 2 2 2" xfId="14992"/>
    <cellStyle name="Normal 6 2 3 2 2 2 2 2 2" xfId="14993"/>
    <cellStyle name="Normal 6 2 3 2 2 2 2 2 2 2" xfId="14994"/>
    <cellStyle name="Normal 6 2 3 2 2 2 2 2 2 2 2" xfId="14995"/>
    <cellStyle name="Normal 6 2 3 2 2 2 2 2 2 3" xfId="14996"/>
    <cellStyle name="Normal 6 2 3 2 2 2 2 2 3" xfId="14997"/>
    <cellStyle name="Normal 6 2 3 2 2 2 2 2 3 2" xfId="14998"/>
    <cellStyle name="Normal 6 2 3 2 2 2 2 2 4" xfId="14999"/>
    <cellStyle name="Normal 6 2 3 2 2 2 2 3" xfId="15000"/>
    <cellStyle name="Normal 6 2 3 2 2 2 2 3 2" xfId="15001"/>
    <cellStyle name="Normal 6 2 3 2 2 2 2 3 2 2" xfId="15002"/>
    <cellStyle name="Normal 6 2 3 2 2 2 2 3 3" xfId="15003"/>
    <cellStyle name="Normal 6 2 3 2 2 2 2 4" xfId="15004"/>
    <cellStyle name="Normal 6 2 3 2 2 2 2 4 2" xfId="15005"/>
    <cellStyle name="Normal 6 2 3 2 2 2 2 5" xfId="15006"/>
    <cellStyle name="Normal 6 2 3 2 2 2 3" xfId="15007"/>
    <cellStyle name="Normal 6 2 3 2 2 2 3 2" xfId="15008"/>
    <cellStyle name="Normal 6 2 3 2 2 2 3 2 2" xfId="15009"/>
    <cellStyle name="Normal 6 2 3 2 2 2 3 2 2 2" xfId="15010"/>
    <cellStyle name="Normal 6 2 3 2 2 2 3 2 3" xfId="15011"/>
    <cellStyle name="Normal 6 2 3 2 2 2 3 3" xfId="15012"/>
    <cellStyle name="Normal 6 2 3 2 2 2 3 3 2" xfId="15013"/>
    <cellStyle name="Normal 6 2 3 2 2 2 3 4" xfId="15014"/>
    <cellStyle name="Normal 6 2 3 2 2 2 4" xfId="15015"/>
    <cellStyle name="Normal 6 2 3 2 2 2 4 2" xfId="15016"/>
    <cellStyle name="Normal 6 2 3 2 2 2 4 2 2" xfId="15017"/>
    <cellStyle name="Normal 6 2 3 2 2 2 4 3" xfId="15018"/>
    <cellStyle name="Normal 6 2 3 2 2 2 5" xfId="15019"/>
    <cellStyle name="Normal 6 2 3 2 2 2 5 2" xfId="15020"/>
    <cellStyle name="Normal 6 2 3 2 2 2 6" xfId="15021"/>
    <cellStyle name="Normal 6 2 3 2 2 3" xfId="15022"/>
    <cellStyle name="Normal 6 2 3 2 2 3 2" xfId="15023"/>
    <cellStyle name="Normal 6 2 3 2 2 3 2 2" xfId="15024"/>
    <cellStyle name="Normal 6 2 3 2 2 3 2 2 2" xfId="15025"/>
    <cellStyle name="Normal 6 2 3 2 2 3 2 2 2 2" xfId="15026"/>
    <cellStyle name="Normal 6 2 3 2 2 3 2 2 3" xfId="15027"/>
    <cellStyle name="Normal 6 2 3 2 2 3 2 3" xfId="15028"/>
    <cellStyle name="Normal 6 2 3 2 2 3 2 3 2" xfId="15029"/>
    <cellStyle name="Normal 6 2 3 2 2 3 2 4" xfId="15030"/>
    <cellStyle name="Normal 6 2 3 2 2 3 3" xfId="15031"/>
    <cellStyle name="Normal 6 2 3 2 2 3 3 2" xfId="15032"/>
    <cellStyle name="Normal 6 2 3 2 2 3 3 2 2" xfId="15033"/>
    <cellStyle name="Normal 6 2 3 2 2 3 3 3" xfId="15034"/>
    <cellStyle name="Normal 6 2 3 2 2 3 4" xfId="15035"/>
    <cellStyle name="Normal 6 2 3 2 2 3 4 2" xfId="15036"/>
    <cellStyle name="Normal 6 2 3 2 2 3 5" xfId="15037"/>
    <cellStyle name="Normal 6 2 3 2 2 4" xfId="15038"/>
    <cellStyle name="Normal 6 2 3 2 2 4 2" xfId="15039"/>
    <cellStyle name="Normal 6 2 3 2 2 4 2 2" xfId="15040"/>
    <cellStyle name="Normal 6 2 3 2 2 4 2 2 2" xfId="15041"/>
    <cellStyle name="Normal 6 2 3 2 2 4 2 3" xfId="15042"/>
    <cellStyle name="Normal 6 2 3 2 2 4 3" xfId="15043"/>
    <cellStyle name="Normal 6 2 3 2 2 4 3 2" xfId="15044"/>
    <cellStyle name="Normal 6 2 3 2 2 4 4" xfId="15045"/>
    <cellStyle name="Normal 6 2 3 2 2 5" xfId="15046"/>
    <cellStyle name="Normal 6 2 3 2 2 5 2" xfId="15047"/>
    <cellStyle name="Normal 6 2 3 2 2 5 2 2" xfId="15048"/>
    <cellStyle name="Normal 6 2 3 2 2 5 3" xfId="15049"/>
    <cellStyle name="Normal 6 2 3 2 2 6" xfId="15050"/>
    <cellStyle name="Normal 6 2 3 2 2 6 2" xfId="15051"/>
    <cellStyle name="Normal 6 2 3 2 2 7" xfId="15052"/>
    <cellStyle name="Normal 6 2 3 2 3" xfId="15053"/>
    <cellStyle name="Normal 6 2 3 2 3 2" xfId="15054"/>
    <cellStyle name="Normal 6 2 3 2 3 2 2" xfId="15055"/>
    <cellStyle name="Normal 6 2 3 2 3 2 2 2" xfId="15056"/>
    <cellStyle name="Normal 6 2 3 2 3 2 2 2 2" xfId="15057"/>
    <cellStyle name="Normal 6 2 3 2 3 2 2 2 2 2" xfId="15058"/>
    <cellStyle name="Normal 6 2 3 2 3 2 2 2 3" xfId="15059"/>
    <cellStyle name="Normal 6 2 3 2 3 2 2 3" xfId="15060"/>
    <cellStyle name="Normal 6 2 3 2 3 2 2 3 2" xfId="15061"/>
    <cellStyle name="Normal 6 2 3 2 3 2 2 4" xfId="15062"/>
    <cellStyle name="Normal 6 2 3 2 3 2 3" xfId="15063"/>
    <cellStyle name="Normal 6 2 3 2 3 2 3 2" xfId="15064"/>
    <cellStyle name="Normal 6 2 3 2 3 2 3 2 2" xfId="15065"/>
    <cellStyle name="Normal 6 2 3 2 3 2 3 3" xfId="15066"/>
    <cellStyle name="Normal 6 2 3 2 3 2 4" xfId="15067"/>
    <cellStyle name="Normal 6 2 3 2 3 2 4 2" xfId="15068"/>
    <cellStyle name="Normal 6 2 3 2 3 2 5" xfId="15069"/>
    <cellStyle name="Normal 6 2 3 2 3 3" xfId="15070"/>
    <cellStyle name="Normal 6 2 3 2 3 3 2" xfId="15071"/>
    <cellStyle name="Normal 6 2 3 2 3 3 2 2" xfId="15072"/>
    <cellStyle name="Normal 6 2 3 2 3 3 2 2 2" xfId="15073"/>
    <cellStyle name="Normal 6 2 3 2 3 3 2 3" xfId="15074"/>
    <cellStyle name="Normal 6 2 3 2 3 3 3" xfId="15075"/>
    <cellStyle name="Normal 6 2 3 2 3 3 3 2" xfId="15076"/>
    <cellStyle name="Normal 6 2 3 2 3 3 4" xfId="15077"/>
    <cellStyle name="Normal 6 2 3 2 3 4" xfId="15078"/>
    <cellStyle name="Normal 6 2 3 2 3 4 2" xfId="15079"/>
    <cellStyle name="Normal 6 2 3 2 3 4 2 2" xfId="15080"/>
    <cellStyle name="Normal 6 2 3 2 3 4 3" xfId="15081"/>
    <cellStyle name="Normal 6 2 3 2 3 5" xfId="15082"/>
    <cellStyle name="Normal 6 2 3 2 3 5 2" xfId="15083"/>
    <cellStyle name="Normal 6 2 3 2 3 6" xfId="15084"/>
    <cellStyle name="Normal 6 2 3 2 4" xfId="15085"/>
    <cellStyle name="Normal 6 2 3 2 4 2" xfId="15086"/>
    <cellStyle name="Normal 6 2 3 2 4 2 2" xfId="15087"/>
    <cellStyle name="Normal 6 2 3 2 4 2 2 2" xfId="15088"/>
    <cellStyle name="Normal 6 2 3 2 4 2 2 2 2" xfId="15089"/>
    <cellStyle name="Normal 6 2 3 2 4 2 2 3" xfId="15090"/>
    <cellStyle name="Normal 6 2 3 2 4 2 3" xfId="15091"/>
    <cellStyle name="Normal 6 2 3 2 4 2 3 2" xfId="15092"/>
    <cellStyle name="Normal 6 2 3 2 4 2 4" xfId="15093"/>
    <cellStyle name="Normal 6 2 3 2 4 3" xfId="15094"/>
    <cellStyle name="Normal 6 2 3 2 4 3 2" xfId="15095"/>
    <cellStyle name="Normal 6 2 3 2 4 3 2 2" xfId="15096"/>
    <cellStyle name="Normal 6 2 3 2 4 3 3" xfId="15097"/>
    <cellStyle name="Normal 6 2 3 2 4 4" xfId="15098"/>
    <cellStyle name="Normal 6 2 3 2 4 4 2" xfId="15099"/>
    <cellStyle name="Normal 6 2 3 2 4 5" xfId="15100"/>
    <cellStyle name="Normal 6 2 3 2 5" xfId="15101"/>
    <cellStyle name="Normal 6 2 3 2 5 2" xfId="15102"/>
    <cellStyle name="Normal 6 2 3 2 5 2 2" xfId="15103"/>
    <cellStyle name="Normal 6 2 3 2 5 2 2 2" xfId="15104"/>
    <cellStyle name="Normal 6 2 3 2 5 2 3" xfId="15105"/>
    <cellStyle name="Normal 6 2 3 2 5 3" xfId="15106"/>
    <cellStyle name="Normal 6 2 3 2 5 3 2" xfId="15107"/>
    <cellStyle name="Normal 6 2 3 2 5 4" xfId="15108"/>
    <cellStyle name="Normal 6 2 3 2 6" xfId="15109"/>
    <cellStyle name="Normal 6 2 3 2 6 2" xfId="15110"/>
    <cellStyle name="Normal 6 2 3 2 6 2 2" xfId="15111"/>
    <cellStyle name="Normal 6 2 3 2 6 3" xfId="15112"/>
    <cellStyle name="Normal 6 2 3 2 7" xfId="15113"/>
    <cellStyle name="Normal 6 2 3 2 7 2" xfId="15114"/>
    <cellStyle name="Normal 6 2 3 2 8" xfId="15115"/>
    <cellStyle name="Normal 6 2 3 3" xfId="15116"/>
    <cellStyle name="Normal 6 2 3 3 2" xfId="15117"/>
    <cellStyle name="Normal 6 2 3 3 2 2" xfId="15118"/>
    <cellStyle name="Normal 6 2 3 3 2 2 2" xfId="15119"/>
    <cellStyle name="Normal 6 2 3 3 2 2 2 2" xfId="15120"/>
    <cellStyle name="Normal 6 2 3 3 2 2 2 2 2" xfId="15121"/>
    <cellStyle name="Normal 6 2 3 3 2 2 2 2 2 2" xfId="15122"/>
    <cellStyle name="Normal 6 2 3 3 2 2 2 2 3" xfId="15123"/>
    <cellStyle name="Normal 6 2 3 3 2 2 2 3" xfId="15124"/>
    <cellStyle name="Normal 6 2 3 3 2 2 2 3 2" xfId="15125"/>
    <cellStyle name="Normal 6 2 3 3 2 2 2 4" xfId="15126"/>
    <cellStyle name="Normal 6 2 3 3 2 2 3" xfId="15127"/>
    <cellStyle name="Normal 6 2 3 3 2 2 3 2" xfId="15128"/>
    <cellStyle name="Normal 6 2 3 3 2 2 3 2 2" xfId="15129"/>
    <cellStyle name="Normal 6 2 3 3 2 2 3 3" xfId="15130"/>
    <cellStyle name="Normal 6 2 3 3 2 2 4" xfId="15131"/>
    <cellStyle name="Normal 6 2 3 3 2 2 4 2" xfId="15132"/>
    <cellStyle name="Normal 6 2 3 3 2 2 5" xfId="15133"/>
    <cellStyle name="Normal 6 2 3 3 2 3" xfId="15134"/>
    <cellStyle name="Normal 6 2 3 3 2 3 2" xfId="15135"/>
    <cellStyle name="Normal 6 2 3 3 2 3 2 2" xfId="15136"/>
    <cellStyle name="Normal 6 2 3 3 2 3 2 2 2" xfId="15137"/>
    <cellStyle name="Normal 6 2 3 3 2 3 2 3" xfId="15138"/>
    <cellStyle name="Normal 6 2 3 3 2 3 3" xfId="15139"/>
    <cellStyle name="Normal 6 2 3 3 2 3 3 2" xfId="15140"/>
    <cellStyle name="Normal 6 2 3 3 2 3 4" xfId="15141"/>
    <cellStyle name="Normal 6 2 3 3 2 4" xfId="15142"/>
    <cellStyle name="Normal 6 2 3 3 2 4 2" xfId="15143"/>
    <cellStyle name="Normal 6 2 3 3 2 4 2 2" xfId="15144"/>
    <cellStyle name="Normal 6 2 3 3 2 4 3" xfId="15145"/>
    <cellStyle name="Normal 6 2 3 3 2 5" xfId="15146"/>
    <cellStyle name="Normal 6 2 3 3 2 5 2" xfId="15147"/>
    <cellStyle name="Normal 6 2 3 3 2 6" xfId="15148"/>
    <cellStyle name="Normal 6 2 3 3 3" xfId="15149"/>
    <cellStyle name="Normal 6 2 3 3 3 2" xfId="15150"/>
    <cellStyle name="Normal 6 2 3 3 3 2 2" xfId="15151"/>
    <cellStyle name="Normal 6 2 3 3 3 2 2 2" xfId="15152"/>
    <cellStyle name="Normal 6 2 3 3 3 2 2 2 2" xfId="15153"/>
    <cellStyle name="Normal 6 2 3 3 3 2 2 3" xfId="15154"/>
    <cellStyle name="Normal 6 2 3 3 3 2 3" xfId="15155"/>
    <cellStyle name="Normal 6 2 3 3 3 2 3 2" xfId="15156"/>
    <cellStyle name="Normal 6 2 3 3 3 2 4" xfId="15157"/>
    <cellStyle name="Normal 6 2 3 3 3 3" xfId="15158"/>
    <cellStyle name="Normal 6 2 3 3 3 3 2" xfId="15159"/>
    <cellStyle name="Normal 6 2 3 3 3 3 2 2" xfId="15160"/>
    <cellStyle name="Normal 6 2 3 3 3 3 3" xfId="15161"/>
    <cellStyle name="Normal 6 2 3 3 3 4" xfId="15162"/>
    <cellStyle name="Normal 6 2 3 3 3 4 2" xfId="15163"/>
    <cellStyle name="Normal 6 2 3 3 3 5" xfId="15164"/>
    <cellStyle name="Normal 6 2 3 3 4" xfId="15165"/>
    <cellStyle name="Normal 6 2 3 3 4 2" xfId="15166"/>
    <cellStyle name="Normal 6 2 3 3 4 2 2" xfId="15167"/>
    <cellStyle name="Normal 6 2 3 3 4 2 2 2" xfId="15168"/>
    <cellStyle name="Normal 6 2 3 3 4 2 3" xfId="15169"/>
    <cellStyle name="Normal 6 2 3 3 4 3" xfId="15170"/>
    <cellStyle name="Normal 6 2 3 3 4 3 2" xfId="15171"/>
    <cellStyle name="Normal 6 2 3 3 4 4" xfId="15172"/>
    <cellStyle name="Normal 6 2 3 3 5" xfId="15173"/>
    <cellStyle name="Normal 6 2 3 3 5 2" xfId="15174"/>
    <cellStyle name="Normal 6 2 3 3 5 2 2" xfId="15175"/>
    <cellStyle name="Normal 6 2 3 3 5 3" xfId="15176"/>
    <cellStyle name="Normal 6 2 3 3 6" xfId="15177"/>
    <cellStyle name="Normal 6 2 3 3 6 2" xfId="15178"/>
    <cellStyle name="Normal 6 2 3 3 7" xfId="15179"/>
    <cellStyle name="Normal 6 2 3 4" xfId="15180"/>
    <cellStyle name="Normal 6 2 3 4 2" xfId="15181"/>
    <cellStyle name="Normal 6 2 3 4 2 2" xfId="15182"/>
    <cellStyle name="Normal 6 2 3 4 2 2 2" xfId="15183"/>
    <cellStyle name="Normal 6 2 3 4 2 2 2 2" xfId="15184"/>
    <cellStyle name="Normal 6 2 3 4 2 2 2 2 2" xfId="15185"/>
    <cellStyle name="Normal 6 2 3 4 2 2 2 3" xfId="15186"/>
    <cellStyle name="Normal 6 2 3 4 2 2 3" xfId="15187"/>
    <cellStyle name="Normal 6 2 3 4 2 2 3 2" xfId="15188"/>
    <cellStyle name="Normal 6 2 3 4 2 2 4" xfId="15189"/>
    <cellStyle name="Normal 6 2 3 4 2 3" xfId="15190"/>
    <cellStyle name="Normal 6 2 3 4 2 3 2" xfId="15191"/>
    <cellStyle name="Normal 6 2 3 4 2 3 2 2" xfId="15192"/>
    <cellStyle name="Normal 6 2 3 4 2 3 3" xfId="15193"/>
    <cellStyle name="Normal 6 2 3 4 2 4" xfId="15194"/>
    <cellStyle name="Normal 6 2 3 4 2 4 2" xfId="15195"/>
    <cellStyle name="Normal 6 2 3 4 2 5" xfId="15196"/>
    <cellStyle name="Normal 6 2 3 4 3" xfId="15197"/>
    <cellStyle name="Normal 6 2 3 4 3 2" xfId="15198"/>
    <cellStyle name="Normal 6 2 3 4 3 2 2" xfId="15199"/>
    <cellStyle name="Normal 6 2 3 4 3 2 2 2" xfId="15200"/>
    <cellStyle name="Normal 6 2 3 4 3 2 3" xfId="15201"/>
    <cellStyle name="Normal 6 2 3 4 3 3" xfId="15202"/>
    <cellStyle name="Normal 6 2 3 4 3 3 2" xfId="15203"/>
    <cellStyle name="Normal 6 2 3 4 3 4" xfId="15204"/>
    <cellStyle name="Normal 6 2 3 4 4" xfId="15205"/>
    <cellStyle name="Normal 6 2 3 4 4 2" xfId="15206"/>
    <cellStyle name="Normal 6 2 3 4 4 2 2" xfId="15207"/>
    <cellStyle name="Normal 6 2 3 4 4 3" xfId="15208"/>
    <cellStyle name="Normal 6 2 3 4 5" xfId="15209"/>
    <cellStyle name="Normal 6 2 3 4 5 2" xfId="15210"/>
    <cellStyle name="Normal 6 2 3 4 6" xfId="15211"/>
    <cellStyle name="Normal 6 2 3 5" xfId="15212"/>
    <cellStyle name="Normal 6 2 3 5 2" xfId="15213"/>
    <cellStyle name="Normal 6 2 3 5 2 2" xfId="15214"/>
    <cellStyle name="Normal 6 2 3 5 2 2 2" xfId="15215"/>
    <cellStyle name="Normal 6 2 3 5 2 2 2 2" xfId="15216"/>
    <cellStyle name="Normal 6 2 3 5 2 2 3" xfId="15217"/>
    <cellStyle name="Normal 6 2 3 5 2 3" xfId="15218"/>
    <cellStyle name="Normal 6 2 3 5 2 3 2" xfId="15219"/>
    <cellStyle name="Normal 6 2 3 5 2 4" xfId="15220"/>
    <cellStyle name="Normal 6 2 3 5 3" xfId="15221"/>
    <cellStyle name="Normal 6 2 3 5 3 2" xfId="15222"/>
    <cellStyle name="Normal 6 2 3 5 3 2 2" xfId="15223"/>
    <cellStyle name="Normal 6 2 3 5 3 3" xfId="15224"/>
    <cellStyle name="Normal 6 2 3 5 4" xfId="15225"/>
    <cellStyle name="Normal 6 2 3 5 4 2" xfId="15226"/>
    <cellStyle name="Normal 6 2 3 5 5" xfId="15227"/>
    <cellStyle name="Normal 6 2 3 6" xfId="15228"/>
    <cellStyle name="Normal 6 2 3 6 2" xfId="15229"/>
    <cellStyle name="Normal 6 2 3 6 2 2" xfId="15230"/>
    <cellStyle name="Normal 6 2 3 6 2 2 2" xfId="15231"/>
    <cellStyle name="Normal 6 2 3 6 2 3" xfId="15232"/>
    <cellStyle name="Normal 6 2 3 6 3" xfId="15233"/>
    <cellStyle name="Normal 6 2 3 6 3 2" xfId="15234"/>
    <cellStyle name="Normal 6 2 3 6 4" xfId="15235"/>
    <cellStyle name="Normal 6 2 3 7" xfId="15236"/>
    <cellStyle name="Normal 6 2 3 7 2" xfId="15237"/>
    <cellStyle name="Normal 6 2 3 7 2 2" xfId="15238"/>
    <cellStyle name="Normal 6 2 3 7 3" xfId="15239"/>
    <cellStyle name="Normal 6 2 3 8" xfId="15240"/>
    <cellStyle name="Normal 6 2 3 8 2" xfId="15241"/>
    <cellStyle name="Normal 6 2 3 9" xfId="15242"/>
    <cellStyle name="Normal 6 2 4" xfId="15243"/>
    <cellStyle name="Normal 6 2 4 2" xfId="15244"/>
    <cellStyle name="Normal 6 2 4 2 2" xfId="15245"/>
    <cellStyle name="Normal 6 2 4 2 2 2" xfId="15246"/>
    <cellStyle name="Normal 6 2 4 2 2 2 2" xfId="15247"/>
    <cellStyle name="Normal 6 2 4 2 2 2 2 2" xfId="15248"/>
    <cellStyle name="Normal 6 2 4 2 2 2 2 2 2" xfId="15249"/>
    <cellStyle name="Normal 6 2 4 2 2 2 2 2 2 2" xfId="15250"/>
    <cellStyle name="Normal 6 2 4 2 2 2 2 2 3" xfId="15251"/>
    <cellStyle name="Normal 6 2 4 2 2 2 2 3" xfId="15252"/>
    <cellStyle name="Normal 6 2 4 2 2 2 2 3 2" xfId="15253"/>
    <cellStyle name="Normal 6 2 4 2 2 2 2 4" xfId="15254"/>
    <cellStyle name="Normal 6 2 4 2 2 2 3" xfId="15255"/>
    <cellStyle name="Normal 6 2 4 2 2 2 3 2" xfId="15256"/>
    <cellStyle name="Normal 6 2 4 2 2 2 3 2 2" xfId="15257"/>
    <cellStyle name="Normal 6 2 4 2 2 2 3 3" xfId="15258"/>
    <cellStyle name="Normal 6 2 4 2 2 2 4" xfId="15259"/>
    <cellStyle name="Normal 6 2 4 2 2 2 4 2" xfId="15260"/>
    <cellStyle name="Normal 6 2 4 2 2 2 5" xfId="15261"/>
    <cellStyle name="Normal 6 2 4 2 2 3" xfId="15262"/>
    <cellStyle name="Normal 6 2 4 2 2 3 2" xfId="15263"/>
    <cellStyle name="Normal 6 2 4 2 2 3 2 2" xfId="15264"/>
    <cellStyle name="Normal 6 2 4 2 2 3 2 2 2" xfId="15265"/>
    <cellStyle name="Normal 6 2 4 2 2 3 2 3" xfId="15266"/>
    <cellStyle name="Normal 6 2 4 2 2 3 3" xfId="15267"/>
    <cellStyle name="Normal 6 2 4 2 2 3 3 2" xfId="15268"/>
    <cellStyle name="Normal 6 2 4 2 2 3 4" xfId="15269"/>
    <cellStyle name="Normal 6 2 4 2 2 4" xfId="15270"/>
    <cellStyle name="Normal 6 2 4 2 2 4 2" xfId="15271"/>
    <cellStyle name="Normal 6 2 4 2 2 4 2 2" xfId="15272"/>
    <cellStyle name="Normal 6 2 4 2 2 4 3" xfId="15273"/>
    <cellStyle name="Normal 6 2 4 2 2 5" xfId="15274"/>
    <cellStyle name="Normal 6 2 4 2 2 5 2" xfId="15275"/>
    <cellStyle name="Normal 6 2 4 2 2 6" xfId="15276"/>
    <cellStyle name="Normal 6 2 4 2 3" xfId="15277"/>
    <cellStyle name="Normal 6 2 4 2 3 2" xfId="15278"/>
    <cellStyle name="Normal 6 2 4 2 3 2 2" xfId="15279"/>
    <cellStyle name="Normal 6 2 4 2 3 2 2 2" xfId="15280"/>
    <cellStyle name="Normal 6 2 4 2 3 2 2 2 2" xfId="15281"/>
    <cellStyle name="Normal 6 2 4 2 3 2 2 3" xfId="15282"/>
    <cellStyle name="Normal 6 2 4 2 3 2 3" xfId="15283"/>
    <cellStyle name="Normal 6 2 4 2 3 2 3 2" xfId="15284"/>
    <cellStyle name="Normal 6 2 4 2 3 2 4" xfId="15285"/>
    <cellStyle name="Normal 6 2 4 2 3 3" xfId="15286"/>
    <cellStyle name="Normal 6 2 4 2 3 3 2" xfId="15287"/>
    <cellStyle name="Normal 6 2 4 2 3 3 2 2" xfId="15288"/>
    <cellStyle name="Normal 6 2 4 2 3 3 3" xfId="15289"/>
    <cellStyle name="Normal 6 2 4 2 3 4" xfId="15290"/>
    <cellStyle name="Normal 6 2 4 2 3 4 2" xfId="15291"/>
    <cellStyle name="Normal 6 2 4 2 3 5" xfId="15292"/>
    <cellStyle name="Normal 6 2 4 2 4" xfId="15293"/>
    <cellStyle name="Normal 6 2 4 2 4 2" xfId="15294"/>
    <cellStyle name="Normal 6 2 4 2 4 2 2" xfId="15295"/>
    <cellStyle name="Normal 6 2 4 2 4 2 2 2" xfId="15296"/>
    <cellStyle name="Normal 6 2 4 2 4 2 3" xfId="15297"/>
    <cellStyle name="Normal 6 2 4 2 4 3" xfId="15298"/>
    <cellStyle name="Normal 6 2 4 2 4 3 2" xfId="15299"/>
    <cellStyle name="Normal 6 2 4 2 4 4" xfId="15300"/>
    <cellStyle name="Normal 6 2 4 2 5" xfId="15301"/>
    <cellStyle name="Normal 6 2 4 2 5 2" xfId="15302"/>
    <cellStyle name="Normal 6 2 4 2 5 2 2" xfId="15303"/>
    <cellStyle name="Normal 6 2 4 2 5 3" xfId="15304"/>
    <cellStyle name="Normal 6 2 4 2 6" xfId="15305"/>
    <cellStyle name="Normal 6 2 4 2 6 2" xfId="15306"/>
    <cellStyle name="Normal 6 2 4 2 7" xfId="15307"/>
    <cellStyle name="Normal 6 2 4 3" xfId="15308"/>
    <cellStyle name="Normal 6 2 4 3 2" xfId="15309"/>
    <cellStyle name="Normal 6 2 4 3 2 2" xfId="15310"/>
    <cellStyle name="Normal 6 2 4 3 2 2 2" xfId="15311"/>
    <cellStyle name="Normal 6 2 4 3 2 2 2 2" xfId="15312"/>
    <cellStyle name="Normal 6 2 4 3 2 2 2 2 2" xfId="15313"/>
    <cellStyle name="Normal 6 2 4 3 2 2 2 3" xfId="15314"/>
    <cellStyle name="Normal 6 2 4 3 2 2 3" xfId="15315"/>
    <cellStyle name="Normal 6 2 4 3 2 2 3 2" xfId="15316"/>
    <cellStyle name="Normal 6 2 4 3 2 2 4" xfId="15317"/>
    <cellStyle name="Normal 6 2 4 3 2 3" xfId="15318"/>
    <cellStyle name="Normal 6 2 4 3 2 3 2" xfId="15319"/>
    <cellStyle name="Normal 6 2 4 3 2 3 2 2" xfId="15320"/>
    <cellStyle name="Normal 6 2 4 3 2 3 3" xfId="15321"/>
    <cellStyle name="Normal 6 2 4 3 2 4" xfId="15322"/>
    <cellStyle name="Normal 6 2 4 3 2 4 2" xfId="15323"/>
    <cellStyle name="Normal 6 2 4 3 2 5" xfId="15324"/>
    <cellStyle name="Normal 6 2 4 3 3" xfId="15325"/>
    <cellStyle name="Normal 6 2 4 3 3 2" xfId="15326"/>
    <cellStyle name="Normal 6 2 4 3 3 2 2" xfId="15327"/>
    <cellStyle name="Normal 6 2 4 3 3 2 2 2" xfId="15328"/>
    <cellStyle name="Normal 6 2 4 3 3 2 3" xfId="15329"/>
    <cellStyle name="Normal 6 2 4 3 3 3" xfId="15330"/>
    <cellStyle name="Normal 6 2 4 3 3 3 2" xfId="15331"/>
    <cellStyle name="Normal 6 2 4 3 3 4" xfId="15332"/>
    <cellStyle name="Normal 6 2 4 3 4" xfId="15333"/>
    <cellStyle name="Normal 6 2 4 3 4 2" xfId="15334"/>
    <cellStyle name="Normal 6 2 4 3 4 2 2" xfId="15335"/>
    <cellStyle name="Normal 6 2 4 3 4 3" xfId="15336"/>
    <cellStyle name="Normal 6 2 4 3 5" xfId="15337"/>
    <cellStyle name="Normal 6 2 4 3 5 2" xfId="15338"/>
    <cellStyle name="Normal 6 2 4 3 6" xfId="15339"/>
    <cellStyle name="Normal 6 2 4 4" xfId="15340"/>
    <cellStyle name="Normal 6 2 4 4 2" xfId="15341"/>
    <cellStyle name="Normal 6 2 4 4 2 2" xfId="15342"/>
    <cellStyle name="Normal 6 2 4 4 2 2 2" xfId="15343"/>
    <cellStyle name="Normal 6 2 4 4 2 2 2 2" xfId="15344"/>
    <cellStyle name="Normal 6 2 4 4 2 2 3" xfId="15345"/>
    <cellStyle name="Normal 6 2 4 4 2 3" xfId="15346"/>
    <cellStyle name="Normal 6 2 4 4 2 3 2" xfId="15347"/>
    <cellStyle name="Normal 6 2 4 4 2 4" xfId="15348"/>
    <cellStyle name="Normal 6 2 4 4 3" xfId="15349"/>
    <cellStyle name="Normal 6 2 4 4 3 2" xfId="15350"/>
    <cellStyle name="Normal 6 2 4 4 3 2 2" xfId="15351"/>
    <cellStyle name="Normal 6 2 4 4 3 3" xfId="15352"/>
    <cellStyle name="Normal 6 2 4 4 4" xfId="15353"/>
    <cellStyle name="Normal 6 2 4 4 4 2" xfId="15354"/>
    <cellStyle name="Normal 6 2 4 4 5" xfId="15355"/>
    <cellStyle name="Normal 6 2 4 5" xfId="15356"/>
    <cellStyle name="Normal 6 2 4 5 2" xfId="15357"/>
    <cellStyle name="Normal 6 2 4 5 2 2" xfId="15358"/>
    <cellStyle name="Normal 6 2 4 5 2 2 2" xfId="15359"/>
    <cellStyle name="Normal 6 2 4 5 2 3" xfId="15360"/>
    <cellStyle name="Normal 6 2 4 5 3" xfId="15361"/>
    <cellStyle name="Normal 6 2 4 5 3 2" xfId="15362"/>
    <cellStyle name="Normal 6 2 4 5 4" xfId="15363"/>
    <cellStyle name="Normal 6 2 4 6" xfId="15364"/>
    <cellStyle name="Normal 6 2 4 6 2" xfId="15365"/>
    <cellStyle name="Normal 6 2 4 6 2 2" xfId="15366"/>
    <cellStyle name="Normal 6 2 4 6 3" xfId="15367"/>
    <cellStyle name="Normal 6 2 4 7" xfId="15368"/>
    <cellStyle name="Normal 6 2 4 7 2" xfId="15369"/>
    <cellStyle name="Normal 6 2 4 8" xfId="15370"/>
    <cellStyle name="Normal 6 2 5" xfId="15371"/>
    <cellStyle name="Normal 6 2 5 2" xfId="15372"/>
    <cellStyle name="Normal 6 2 5 2 2" xfId="15373"/>
    <cellStyle name="Normal 6 2 5 2 2 2" xfId="15374"/>
    <cellStyle name="Normal 6 2 5 2 2 2 2" xfId="15375"/>
    <cellStyle name="Normal 6 2 5 2 2 2 2 2" xfId="15376"/>
    <cellStyle name="Normal 6 2 5 2 2 2 2 2 2" xfId="15377"/>
    <cellStyle name="Normal 6 2 5 2 2 2 2 3" xfId="15378"/>
    <cellStyle name="Normal 6 2 5 2 2 2 3" xfId="15379"/>
    <cellStyle name="Normal 6 2 5 2 2 2 3 2" xfId="15380"/>
    <cellStyle name="Normal 6 2 5 2 2 2 4" xfId="15381"/>
    <cellStyle name="Normal 6 2 5 2 2 3" xfId="15382"/>
    <cellStyle name="Normal 6 2 5 2 2 3 2" xfId="15383"/>
    <cellStyle name="Normal 6 2 5 2 2 3 2 2" xfId="15384"/>
    <cellStyle name="Normal 6 2 5 2 2 3 3" xfId="15385"/>
    <cellStyle name="Normal 6 2 5 2 2 4" xfId="15386"/>
    <cellStyle name="Normal 6 2 5 2 2 4 2" xfId="15387"/>
    <cellStyle name="Normal 6 2 5 2 2 5" xfId="15388"/>
    <cellStyle name="Normal 6 2 5 2 3" xfId="15389"/>
    <cellStyle name="Normal 6 2 5 2 3 2" xfId="15390"/>
    <cellStyle name="Normal 6 2 5 2 3 2 2" xfId="15391"/>
    <cellStyle name="Normal 6 2 5 2 3 2 2 2" xfId="15392"/>
    <cellStyle name="Normal 6 2 5 2 3 2 3" xfId="15393"/>
    <cellStyle name="Normal 6 2 5 2 3 3" xfId="15394"/>
    <cellStyle name="Normal 6 2 5 2 3 3 2" xfId="15395"/>
    <cellStyle name="Normal 6 2 5 2 3 4" xfId="15396"/>
    <cellStyle name="Normal 6 2 5 2 4" xfId="15397"/>
    <cellStyle name="Normal 6 2 5 2 4 2" xfId="15398"/>
    <cellStyle name="Normal 6 2 5 2 4 2 2" xfId="15399"/>
    <cellStyle name="Normal 6 2 5 2 4 3" xfId="15400"/>
    <cellStyle name="Normal 6 2 5 2 5" xfId="15401"/>
    <cellStyle name="Normal 6 2 5 2 5 2" xfId="15402"/>
    <cellStyle name="Normal 6 2 5 2 6" xfId="15403"/>
    <cellStyle name="Normal 6 2 5 3" xfId="15404"/>
    <cellStyle name="Normal 6 2 5 3 2" xfId="15405"/>
    <cellStyle name="Normal 6 2 5 3 2 2" xfId="15406"/>
    <cellStyle name="Normal 6 2 5 3 2 2 2" xfId="15407"/>
    <cellStyle name="Normal 6 2 5 3 2 2 2 2" xfId="15408"/>
    <cellStyle name="Normal 6 2 5 3 2 2 3" xfId="15409"/>
    <cellStyle name="Normal 6 2 5 3 2 3" xfId="15410"/>
    <cellStyle name="Normal 6 2 5 3 2 3 2" xfId="15411"/>
    <cellStyle name="Normal 6 2 5 3 2 4" xfId="15412"/>
    <cellStyle name="Normal 6 2 5 3 3" xfId="15413"/>
    <cellStyle name="Normal 6 2 5 3 3 2" xfId="15414"/>
    <cellStyle name="Normal 6 2 5 3 3 2 2" xfId="15415"/>
    <cellStyle name="Normal 6 2 5 3 3 3" xfId="15416"/>
    <cellStyle name="Normal 6 2 5 3 4" xfId="15417"/>
    <cellStyle name="Normal 6 2 5 3 4 2" xfId="15418"/>
    <cellStyle name="Normal 6 2 5 3 5" xfId="15419"/>
    <cellStyle name="Normal 6 2 5 4" xfId="15420"/>
    <cellStyle name="Normal 6 2 5 4 2" xfId="15421"/>
    <cellStyle name="Normal 6 2 5 4 2 2" xfId="15422"/>
    <cellStyle name="Normal 6 2 5 4 2 2 2" xfId="15423"/>
    <cellStyle name="Normal 6 2 5 4 2 3" xfId="15424"/>
    <cellStyle name="Normal 6 2 5 4 3" xfId="15425"/>
    <cellStyle name="Normal 6 2 5 4 3 2" xfId="15426"/>
    <cellStyle name="Normal 6 2 5 4 4" xfId="15427"/>
    <cellStyle name="Normal 6 2 5 5" xfId="15428"/>
    <cellStyle name="Normal 6 2 5 5 2" xfId="15429"/>
    <cellStyle name="Normal 6 2 5 5 2 2" xfId="15430"/>
    <cellStyle name="Normal 6 2 5 5 3" xfId="15431"/>
    <cellStyle name="Normal 6 2 5 6" xfId="15432"/>
    <cellStyle name="Normal 6 2 5 6 2" xfId="15433"/>
    <cellStyle name="Normal 6 2 5 7" xfId="15434"/>
    <cellStyle name="Normal 6 2 6" xfId="15435"/>
    <cellStyle name="Normal 6 2 6 2" xfId="15436"/>
    <cellStyle name="Normal 6 2 6 2 2" xfId="15437"/>
    <cellStyle name="Normal 6 2 6 2 2 2" xfId="15438"/>
    <cellStyle name="Normal 6 2 6 2 2 2 2" xfId="15439"/>
    <cellStyle name="Normal 6 2 6 2 2 2 2 2" xfId="15440"/>
    <cellStyle name="Normal 6 2 6 2 2 2 3" xfId="15441"/>
    <cellStyle name="Normal 6 2 6 2 2 3" xfId="15442"/>
    <cellStyle name="Normal 6 2 6 2 2 3 2" xfId="15443"/>
    <cellStyle name="Normal 6 2 6 2 2 4" xfId="15444"/>
    <cellStyle name="Normal 6 2 6 2 3" xfId="15445"/>
    <cellStyle name="Normal 6 2 6 2 3 2" xfId="15446"/>
    <cellStyle name="Normal 6 2 6 2 3 2 2" xfId="15447"/>
    <cellStyle name="Normal 6 2 6 2 3 3" xfId="15448"/>
    <cellStyle name="Normal 6 2 6 2 4" xfId="15449"/>
    <cellStyle name="Normal 6 2 6 2 4 2" xfId="15450"/>
    <cellStyle name="Normal 6 2 6 2 5" xfId="15451"/>
    <cellStyle name="Normal 6 2 6 3" xfId="15452"/>
    <cellStyle name="Normal 6 2 6 3 2" xfId="15453"/>
    <cellStyle name="Normal 6 2 6 3 2 2" xfId="15454"/>
    <cellStyle name="Normal 6 2 6 3 2 2 2" xfId="15455"/>
    <cellStyle name="Normal 6 2 6 3 2 3" xfId="15456"/>
    <cellStyle name="Normal 6 2 6 3 3" xfId="15457"/>
    <cellStyle name="Normal 6 2 6 3 3 2" xfId="15458"/>
    <cellStyle name="Normal 6 2 6 3 4" xfId="15459"/>
    <cellStyle name="Normal 6 2 6 4" xfId="15460"/>
    <cellStyle name="Normal 6 2 6 4 2" xfId="15461"/>
    <cellStyle name="Normal 6 2 6 4 2 2" xfId="15462"/>
    <cellStyle name="Normal 6 2 6 4 3" xfId="15463"/>
    <cellStyle name="Normal 6 2 6 5" xfId="15464"/>
    <cellStyle name="Normal 6 2 6 5 2" xfId="15465"/>
    <cellStyle name="Normal 6 2 6 6" xfId="15466"/>
    <cellStyle name="Normal 6 2 7" xfId="15467"/>
    <cellStyle name="Normal 6 2 7 2" xfId="15468"/>
    <cellStyle name="Normal 6 2 7 2 2" xfId="15469"/>
    <cellStyle name="Normal 6 2 7 2 2 2" xfId="15470"/>
    <cellStyle name="Normal 6 2 7 2 2 2 2" xfId="15471"/>
    <cellStyle name="Normal 6 2 7 2 2 3" xfId="15472"/>
    <cellStyle name="Normal 6 2 7 2 3" xfId="15473"/>
    <cellStyle name="Normal 6 2 7 2 3 2" xfId="15474"/>
    <cellStyle name="Normal 6 2 7 2 4" xfId="15475"/>
    <cellStyle name="Normal 6 2 7 3" xfId="15476"/>
    <cellStyle name="Normal 6 2 7 3 2" xfId="15477"/>
    <cellStyle name="Normal 6 2 7 3 2 2" xfId="15478"/>
    <cellStyle name="Normal 6 2 7 3 3" xfId="15479"/>
    <cellStyle name="Normal 6 2 7 4" xfId="15480"/>
    <cellStyle name="Normal 6 2 7 4 2" xfId="15481"/>
    <cellStyle name="Normal 6 2 7 5" xfId="15482"/>
    <cellStyle name="Normal 6 2 8" xfId="15483"/>
    <cellStyle name="Normal 6 2 8 2" xfId="15484"/>
    <cellStyle name="Normal 6 2 8 2 2" xfId="15485"/>
    <cellStyle name="Normal 6 2 8 2 2 2" xfId="15486"/>
    <cellStyle name="Normal 6 2 8 2 3" xfId="15487"/>
    <cellStyle name="Normal 6 2 8 3" xfId="15488"/>
    <cellStyle name="Normal 6 2 8 3 2" xfId="15489"/>
    <cellStyle name="Normal 6 2 8 4" xfId="15490"/>
    <cellStyle name="Normal 6 2 9" xfId="15491"/>
    <cellStyle name="Normal 6 2 9 2" xfId="15492"/>
    <cellStyle name="Normal 6 2 9 2 2" xfId="15493"/>
    <cellStyle name="Normal 6 2 9 3" xfId="15494"/>
    <cellStyle name="Normal 6 3" xfId="15495"/>
    <cellStyle name="Normal 6 3 10" xfId="15496"/>
    <cellStyle name="Normal 6 3 2" xfId="15497"/>
    <cellStyle name="Normal 6 3 2 2" xfId="15498"/>
    <cellStyle name="Normal 6 3 2 2 2" xfId="15499"/>
    <cellStyle name="Normal 6 3 2 2 2 2" xfId="15500"/>
    <cellStyle name="Normal 6 3 2 2 2 2 2" xfId="15501"/>
    <cellStyle name="Normal 6 3 2 2 2 2 2 2" xfId="15502"/>
    <cellStyle name="Normal 6 3 2 2 2 2 2 2 2" xfId="15503"/>
    <cellStyle name="Normal 6 3 2 2 2 2 2 2 2 2" xfId="15504"/>
    <cellStyle name="Normal 6 3 2 2 2 2 2 2 2 2 2" xfId="15505"/>
    <cellStyle name="Normal 6 3 2 2 2 2 2 2 2 3" xfId="15506"/>
    <cellStyle name="Normal 6 3 2 2 2 2 2 2 3" xfId="15507"/>
    <cellStyle name="Normal 6 3 2 2 2 2 2 2 3 2" xfId="15508"/>
    <cellStyle name="Normal 6 3 2 2 2 2 2 2 4" xfId="15509"/>
    <cellStyle name="Normal 6 3 2 2 2 2 2 3" xfId="15510"/>
    <cellStyle name="Normal 6 3 2 2 2 2 2 3 2" xfId="15511"/>
    <cellStyle name="Normal 6 3 2 2 2 2 2 3 2 2" xfId="15512"/>
    <cellStyle name="Normal 6 3 2 2 2 2 2 3 3" xfId="15513"/>
    <cellStyle name="Normal 6 3 2 2 2 2 2 4" xfId="15514"/>
    <cellStyle name="Normal 6 3 2 2 2 2 2 4 2" xfId="15515"/>
    <cellStyle name="Normal 6 3 2 2 2 2 2 5" xfId="15516"/>
    <cellStyle name="Normal 6 3 2 2 2 2 3" xfId="15517"/>
    <cellStyle name="Normal 6 3 2 2 2 2 3 2" xfId="15518"/>
    <cellStyle name="Normal 6 3 2 2 2 2 3 2 2" xfId="15519"/>
    <cellStyle name="Normal 6 3 2 2 2 2 3 2 2 2" xfId="15520"/>
    <cellStyle name="Normal 6 3 2 2 2 2 3 2 3" xfId="15521"/>
    <cellStyle name="Normal 6 3 2 2 2 2 3 3" xfId="15522"/>
    <cellStyle name="Normal 6 3 2 2 2 2 3 3 2" xfId="15523"/>
    <cellStyle name="Normal 6 3 2 2 2 2 3 4" xfId="15524"/>
    <cellStyle name="Normal 6 3 2 2 2 2 4" xfId="15525"/>
    <cellStyle name="Normal 6 3 2 2 2 2 4 2" xfId="15526"/>
    <cellStyle name="Normal 6 3 2 2 2 2 4 2 2" xfId="15527"/>
    <cellStyle name="Normal 6 3 2 2 2 2 4 3" xfId="15528"/>
    <cellStyle name="Normal 6 3 2 2 2 2 5" xfId="15529"/>
    <cellStyle name="Normal 6 3 2 2 2 2 5 2" xfId="15530"/>
    <cellStyle name="Normal 6 3 2 2 2 2 6" xfId="15531"/>
    <cellStyle name="Normal 6 3 2 2 2 3" xfId="15532"/>
    <cellStyle name="Normal 6 3 2 2 2 3 2" xfId="15533"/>
    <cellStyle name="Normal 6 3 2 2 2 3 2 2" xfId="15534"/>
    <cellStyle name="Normal 6 3 2 2 2 3 2 2 2" xfId="15535"/>
    <cellStyle name="Normal 6 3 2 2 2 3 2 2 2 2" xfId="15536"/>
    <cellStyle name="Normal 6 3 2 2 2 3 2 2 3" xfId="15537"/>
    <cellStyle name="Normal 6 3 2 2 2 3 2 3" xfId="15538"/>
    <cellStyle name="Normal 6 3 2 2 2 3 2 3 2" xfId="15539"/>
    <cellStyle name="Normal 6 3 2 2 2 3 2 4" xfId="15540"/>
    <cellStyle name="Normal 6 3 2 2 2 3 3" xfId="15541"/>
    <cellStyle name="Normal 6 3 2 2 2 3 3 2" xfId="15542"/>
    <cellStyle name="Normal 6 3 2 2 2 3 3 2 2" xfId="15543"/>
    <cellStyle name="Normal 6 3 2 2 2 3 3 3" xfId="15544"/>
    <cellStyle name="Normal 6 3 2 2 2 3 4" xfId="15545"/>
    <cellStyle name="Normal 6 3 2 2 2 3 4 2" xfId="15546"/>
    <cellStyle name="Normal 6 3 2 2 2 3 5" xfId="15547"/>
    <cellStyle name="Normal 6 3 2 2 2 4" xfId="15548"/>
    <cellStyle name="Normal 6 3 2 2 2 4 2" xfId="15549"/>
    <cellStyle name="Normal 6 3 2 2 2 4 2 2" xfId="15550"/>
    <cellStyle name="Normal 6 3 2 2 2 4 2 2 2" xfId="15551"/>
    <cellStyle name="Normal 6 3 2 2 2 4 2 3" xfId="15552"/>
    <cellStyle name="Normal 6 3 2 2 2 4 3" xfId="15553"/>
    <cellStyle name="Normal 6 3 2 2 2 4 3 2" xfId="15554"/>
    <cellStyle name="Normal 6 3 2 2 2 4 4" xfId="15555"/>
    <cellStyle name="Normal 6 3 2 2 2 5" xfId="15556"/>
    <cellStyle name="Normal 6 3 2 2 2 5 2" xfId="15557"/>
    <cellStyle name="Normal 6 3 2 2 2 5 2 2" xfId="15558"/>
    <cellStyle name="Normal 6 3 2 2 2 5 3" xfId="15559"/>
    <cellStyle name="Normal 6 3 2 2 2 6" xfId="15560"/>
    <cellStyle name="Normal 6 3 2 2 2 6 2" xfId="15561"/>
    <cellStyle name="Normal 6 3 2 2 2 7" xfId="15562"/>
    <cellStyle name="Normal 6 3 2 2 3" xfId="15563"/>
    <cellStyle name="Normal 6 3 2 2 3 2" xfId="15564"/>
    <cellStyle name="Normal 6 3 2 2 3 2 2" xfId="15565"/>
    <cellStyle name="Normal 6 3 2 2 3 2 2 2" xfId="15566"/>
    <cellStyle name="Normal 6 3 2 2 3 2 2 2 2" xfId="15567"/>
    <cellStyle name="Normal 6 3 2 2 3 2 2 2 2 2" xfId="15568"/>
    <cellStyle name="Normal 6 3 2 2 3 2 2 2 3" xfId="15569"/>
    <cellStyle name="Normal 6 3 2 2 3 2 2 3" xfId="15570"/>
    <cellStyle name="Normal 6 3 2 2 3 2 2 3 2" xfId="15571"/>
    <cellStyle name="Normal 6 3 2 2 3 2 2 4" xfId="15572"/>
    <cellStyle name="Normal 6 3 2 2 3 2 3" xfId="15573"/>
    <cellStyle name="Normal 6 3 2 2 3 2 3 2" xfId="15574"/>
    <cellStyle name="Normal 6 3 2 2 3 2 3 2 2" xfId="15575"/>
    <cellStyle name="Normal 6 3 2 2 3 2 3 3" xfId="15576"/>
    <cellStyle name="Normal 6 3 2 2 3 2 4" xfId="15577"/>
    <cellStyle name="Normal 6 3 2 2 3 2 4 2" xfId="15578"/>
    <cellStyle name="Normal 6 3 2 2 3 2 5" xfId="15579"/>
    <cellStyle name="Normal 6 3 2 2 3 3" xfId="15580"/>
    <cellStyle name="Normal 6 3 2 2 3 3 2" xfId="15581"/>
    <cellStyle name="Normal 6 3 2 2 3 3 2 2" xfId="15582"/>
    <cellStyle name="Normal 6 3 2 2 3 3 2 2 2" xfId="15583"/>
    <cellStyle name="Normal 6 3 2 2 3 3 2 3" xfId="15584"/>
    <cellStyle name="Normal 6 3 2 2 3 3 3" xfId="15585"/>
    <cellStyle name="Normal 6 3 2 2 3 3 3 2" xfId="15586"/>
    <cellStyle name="Normal 6 3 2 2 3 3 4" xfId="15587"/>
    <cellStyle name="Normal 6 3 2 2 3 4" xfId="15588"/>
    <cellStyle name="Normal 6 3 2 2 3 4 2" xfId="15589"/>
    <cellStyle name="Normal 6 3 2 2 3 4 2 2" xfId="15590"/>
    <cellStyle name="Normal 6 3 2 2 3 4 3" xfId="15591"/>
    <cellStyle name="Normal 6 3 2 2 3 5" xfId="15592"/>
    <cellStyle name="Normal 6 3 2 2 3 5 2" xfId="15593"/>
    <cellStyle name="Normal 6 3 2 2 3 6" xfId="15594"/>
    <cellStyle name="Normal 6 3 2 2 4" xfId="15595"/>
    <cellStyle name="Normal 6 3 2 2 4 2" xfId="15596"/>
    <cellStyle name="Normal 6 3 2 2 4 2 2" xfId="15597"/>
    <cellStyle name="Normal 6 3 2 2 4 2 2 2" xfId="15598"/>
    <cellStyle name="Normal 6 3 2 2 4 2 2 2 2" xfId="15599"/>
    <cellStyle name="Normal 6 3 2 2 4 2 2 3" xfId="15600"/>
    <cellStyle name="Normal 6 3 2 2 4 2 3" xfId="15601"/>
    <cellStyle name="Normal 6 3 2 2 4 2 3 2" xfId="15602"/>
    <cellStyle name="Normal 6 3 2 2 4 2 4" xfId="15603"/>
    <cellStyle name="Normal 6 3 2 2 4 3" xfId="15604"/>
    <cellStyle name="Normal 6 3 2 2 4 3 2" xfId="15605"/>
    <cellStyle name="Normal 6 3 2 2 4 3 2 2" xfId="15606"/>
    <cellStyle name="Normal 6 3 2 2 4 3 3" xfId="15607"/>
    <cellStyle name="Normal 6 3 2 2 4 4" xfId="15608"/>
    <cellStyle name="Normal 6 3 2 2 4 4 2" xfId="15609"/>
    <cellStyle name="Normal 6 3 2 2 4 5" xfId="15610"/>
    <cellStyle name="Normal 6 3 2 2 5" xfId="15611"/>
    <cellStyle name="Normal 6 3 2 2 5 2" xfId="15612"/>
    <cellStyle name="Normal 6 3 2 2 5 2 2" xfId="15613"/>
    <cellStyle name="Normal 6 3 2 2 5 2 2 2" xfId="15614"/>
    <cellStyle name="Normal 6 3 2 2 5 2 3" xfId="15615"/>
    <cellStyle name="Normal 6 3 2 2 5 3" xfId="15616"/>
    <cellStyle name="Normal 6 3 2 2 5 3 2" xfId="15617"/>
    <cellStyle name="Normal 6 3 2 2 5 4" xfId="15618"/>
    <cellStyle name="Normal 6 3 2 2 6" xfId="15619"/>
    <cellStyle name="Normal 6 3 2 2 6 2" xfId="15620"/>
    <cellStyle name="Normal 6 3 2 2 6 2 2" xfId="15621"/>
    <cellStyle name="Normal 6 3 2 2 6 3" xfId="15622"/>
    <cellStyle name="Normal 6 3 2 2 7" xfId="15623"/>
    <cellStyle name="Normal 6 3 2 2 7 2" xfId="15624"/>
    <cellStyle name="Normal 6 3 2 2 8" xfId="15625"/>
    <cellStyle name="Normal 6 3 2 3" xfId="15626"/>
    <cellStyle name="Normal 6 3 2 3 2" xfId="15627"/>
    <cellStyle name="Normal 6 3 2 3 2 2" xfId="15628"/>
    <cellStyle name="Normal 6 3 2 3 2 2 2" xfId="15629"/>
    <cellStyle name="Normal 6 3 2 3 2 2 2 2" xfId="15630"/>
    <cellStyle name="Normal 6 3 2 3 2 2 2 2 2" xfId="15631"/>
    <cellStyle name="Normal 6 3 2 3 2 2 2 2 2 2" xfId="15632"/>
    <cellStyle name="Normal 6 3 2 3 2 2 2 2 3" xfId="15633"/>
    <cellStyle name="Normal 6 3 2 3 2 2 2 3" xfId="15634"/>
    <cellStyle name="Normal 6 3 2 3 2 2 2 3 2" xfId="15635"/>
    <cellStyle name="Normal 6 3 2 3 2 2 2 4" xfId="15636"/>
    <cellStyle name="Normal 6 3 2 3 2 2 3" xfId="15637"/>
    <cellStyle name="Normal 6 3 2 3 2 2 3 2" xfId="15638"/>
    <cellStyle name="Normal 6 3 2 3 2 2 3 2 2" xfId="15639"/>
    <cellStyle name="Normal 6 3 2 3 2 2 3 3" xfId="15640"/>
    <cellStyle name="Normal 6 3 2 3 2 2 4" xfId="15641"/>
    <cellStyle name="Normal 6 3 2 3 2 2 4 2" xfId="15642"/>
    <cellStyle name="Normal 6 3 2 3 2 2 5" xfId="15643"/>
    <cellStyle name="Normal 6 3 2 3 2 3" xfId="15644"/>
    <cellStyle name="Normal 6 3 2 3 2 3 2" xfId="15645"/>
    <cellStyle name="Normal 6 3 2 3 2 3 2 2" xfId="15646"/>
    <cellStyle name="Normal 6 3 2 3 2 3 2 2 2" xfId="15647"/>
    <cellStyle name="Normal 6 3 2 3 2 3 2 3" xfId="15648"/>
    <cellStyle name="Normal 6 3 2 3 2 3 3" xfId="15649"/>
    <cellStyle name="Normal 6 3 2 3 2 3 3 2" xfId="15650"/>
    <cellStyle name="Normal 6 3 2 3 2 3 4" xfId="15651"/>
    <cellStyle name="Normal 6 3 2 3 2 4" xfId="15652"/>
    <cellStyle name="Normal 6 3 2 3 2 4 2" xfId="15653"/>
    <cellStyle name="Normal 6 3 2 3 2 4 2 2" xfId="15654"/>
    <cellStyle name="Normal 6 3 2 3 2 4 3" xfId="15655"/>
    <cellStyle name="Normal 6 3 2 3 2 5" xfId="15656"/>
    <cellStyle name="Normal 6 3 2 3 2 5 2" xfId="15657"/>
    <cellStyle name="Normal 6 3 2 3 2 6" xfId="15658"/>
    <cellStyle name="Normal 6 3 2 3 3" xfId="15659"/>
    <cellStyle name="Normal 6 3 2 3 3 2" xfId="15660"/>
    <cellStyle name="Normal 6 3 2 3 3 2 2" xfId="15661"/>
    <cellStyle name="Normal 6 3 2 3 3 2 2 2" xfId="15662"/>
    <cellStyle name="Normal 6 3 2 3 3 2 2 2 2" xfId="15663"/>
    <cellStyle name="Normal 6 3 2 3 3 2 2 3" xfId="15664"/>
    <cellStyle name="Normal 6 3 2 3 3 2 3" xfId="15665"/>
    <cellStyle name="Normal 6 3 2 3 3 2 3 2" xfId="15666"/>
    <cellStyle name="Normal 6 3 2 3 3 2 4" xfId="15667"/>
    <cellStyle name="Normal 6 3 2 3 3 3" xfId="15668"/>
    <cellStyle name="Normal 6 3 2 3 3 3 2" xfId="15669"/>
    <cellStyle name="Normal 6 3 2 3 3 3 2 2" xfId="15670"/>
    <cellStyle name="Normal 6 3 2 3 3 3 3" xfId="15671"/>
    <cellStyle name="Normal 6 3 2 3 3 4" xfId="15672"/>
    <cellStyle name="Normal 6 3 2 3 3 4 2" xfId="15673"/>
    <cellStyle name="Normal 6 3 2 3 3 5" xfId="15674"/>
    <cellStyle name="Normal 6 3 2 3 4" xfId="15675"/>
    <cellStyle name="Normal 6 3 2 3 4 2" xfId="15676"/>
    <cellStyle name="Normal 6 3 2 3 4 2 2" xfId="15677"/>
    <cellStyle name="Normal 6 3 2 3 4 2 2 2" xfId="15678"/>
    <cellStyle name="Normal 6 3 2 3 4 2 3" xfId="15679"/>
    <cellStyle name="Normal 6 3 2 3 4 3" xfId="15680"/>
    <cellStyle name="Normal 6 3 2 3 4 3 2" xfId="15681"/>
    <cellStyle name="Normal 6 3 2 3 4 4" xfId="15682"/>
    <cellStyle name="Normal 6 3 2 3 5" xfId="15683"/>
    <cellStyle name="Normal 6 3 2 3 5 2" xfId="15684"/>
    <cellStyle name="Normal 6 3 2 3 5 2 2" xfId="15685"/>
    <cellStyle name="Normal 6 3 2 3 5 3" xfId="15686"/>
    <cellStyle name="Normal 6 3 2 3 6" xfId="15687"/>
    <cellStyle name="Normal 6 3 2 3 6 2" xfId="15688"/>
    <cellStyle name="Normal 6 3 2 3 7" xfId="15689"/>
    <cellStyle name="Normal 6 3 2 4" xfId="15690"/>
    <cellStyle name="Normal 6 3 2 4 2" xfId="15691"/>
    <cellStyle name="Normal 6 3 2 4 2 2" xfId="15692"/>
    <cellStyle name="Normal 6 3 2 4 2 2 2" xfId="15693"/>
    <cellStyle name="Normal 6 3 2 4 2 2 2 2" xfId="15694"/>
    <cellStyle name="Normal 6 3 2 4 2 2 2 2 2" xfId="15695"/>
    <cellStyle name="Normal 6 3 2 4 2 2 2 3" xfId="15696"/>
    <cellStyle name="Normal 6 3 2 4 2 2 3" xfId="15697"/>
    <cellStyle name="Normal 6 3 2 4 2 2 3 2" xfId="15698"/>
    <cellStyle name="Normal 6 3 2 4 2 2 4" xfId="15699"/>
    <cellStyle name="Normal 6 3 2 4 2 3" xfId="15700"/>
    <cellStyle name="Normal 6 3 2 4 2 3 2" xfId="15701"/>
    <cellStyle name="Normal 6 3 2 4 2 3 2 2" xfId="15702"/>
    <cellStyle name="Normal 6 3 2 4 2 3 3" xfId="15703"/>
    <cellStyle name="Normal 6 3 2 4 2 4" xfId="15704"/>
    <cellStyle name="Normal 6 3 2 4 2 4 2" xfId="15705"/>
    <cellStyle name="Normal 6 3 2 4 2 5" xfId="15706"/>
    <cellStyle name="Normal 6 3 2 4 3" xfId="15707"/>
    <cellStyle name="Normal 6 3 2 4 3 2" xfId="15708"/>
    <cellStyle name="Normal 6 3 2 4 3 2 2" xfId="15709"/>
    <cellStyle name="Normal 6 3 2 4 3 2 2 2" xfId="15710"/>
    <cellStyle name="Normal 6 3 2 4 3 2 3" xfId="15711"/>
    <cellStyle name="Normal 6 3 2 4 3 3" xfId="15712"/>
    <cellStyle name="Normal 6 3 2 4 3 3 2" xfId="15713"/>
    <cellStyle name="Normal 6 3 2 4 3 4" xfId="15714"/>
    <cellStyle name="Normal 6 3 2 4 4" xfId="15715"/>
    <cellStyle name="Normal 6 3 2 4 4 2" xfId="15716"/>
    <cellStyle name="Normal 6 3 2 4 4 2 2" xfId="15717"/>
    <cellStyle name="Normal 6 3 2 4 4 3" xfId="15718"/>
    <cellStyle name="Normal 6 3 2 4 5" xfId="15719"/>
    <cellStyle name="Normal 6 3 2 4 5 2" xfId="15720"/>
    <cellStyle name="Normal 6 3 2 4 6" xfId="15721"/>
    <cellStyle name="Normal 6 3 2 5" xfId="15722"/>
    <cellStyle name="Normal 6 3 2 5 2" xfId="15723"/>
    <cellStyle name="Normal 6 3 2 5 2 2" xfId="15724"/>
    <cellStyle name="Normal 6 3 2 5 2 2 2" xfId="15725"/>
    <cellStyle name="Normal 6 3 2 5 2 2 2 2" xfId="15726"/>
    <cellStyle name="Normal 6 3 2 5 2 2 3" xfId="15727"/>
    <cellStyle name="Normal 6 3 2 5 2 3" xfId="15728"/>
    <cellStyle name="Normal 6 3 2 5 2 3 2" xfId="15729"/>
    <cellStyle name="Normal 6 3 2 5 2 4" xfId="15730"/>
    <cellStyle name="Normal 6 3 2 5 3" xfId="15731"/>
    <cellStyle name="Normal 6 3 2 5 3 2" xfId="15732"/>
    <cellStyle name="Normal 6 3 2 5 3 2 2" xfId="15733"/>
    <cellStyle name="Normal 6 3 2 5 3 3" xfId="15734"/>
    <cellStyle name="Normal 6 3 2 5 4" xfId="15735"/>
    <cellStyle name="Normal 6 3 2 5 4 2" xfId="15736"/>
    <cellStyle name="Normal 6 3 2 5 5" xfId="15737"/>
    <cellStyle name="Normal 6 3 2 6" xfId="15738"/>
    <cellStyle name="Normal 6 3 2 6 2" xfId="15739"/>
    <cellStyle name="Normal 6 3 2 6 2 2" xfId="15740"/>
    <cellStyle name="Normal 6 3 2 6 2 2 2" xfId="15741"/>
    <cellStyle name="Normal 6 3 2 6 2 3" xfId="15742"/>
    <cellStyle name="Normal 6 3 2 6 3" xfId="15743"/>
    <cellStyle name="Normal 6 3 2 6 3 2" xfId="15744"/>
    <cellStyle name="Normal 6 3 2 6 4" xfId="15745"/>
    <cellStyle name="Normal 6 3 2 7" xfId="15746"/>
    <cellStyle name="Normal 6 3 2 7 2" xfId="15747"/>
    <cellStyle name="Normal 6 3 2 7 2 2" xfId="15748"/>
    <cellStyle name="Normal 6 3 2 7 3" xfId="15749"/>
    <cellStyle name="Normal 6 3 2 8" xfId="15750"/>
    <cellStyle name="Normal 6 3 2 8 2" xfId="15751"/>
    <cellStyle name="Normal 6 3 2 9" xfId="15752"/>
    <cellStyle name="Normal 6 3 3" xfId="15753"/>
    <cellStyle name="Normal 6 3 3 2" xfId="15754"/>
    <cellStyle name="Normal 6 3 3 2 2" xfId="15755"/>
    <cellStyle name="Normal 6 3 3 2 2 2" xfId="15756"/>
    <cellStyle name="Normal 6 3 3 2 2 2 2" xfId="15757"/>
    <cellStyle name="Normal 6 3 3 2 2 2 2 2" xfId="15758"/>
    <cellStyle name="Normal 6 3 3 2 2 2 2 2 2" xfId="15759"/>
    <cellStyle name="Normal 6 3 3 2 2 2 2 2 2 2" xfId="15760"/>
    <cellStyle name="Normal 6 3 3 2 2 2 2 2 3" xfId="15761"/>
    <cellStyle name="Normal 6 3 3 2 2 2 2 3" xfId="15762"/>
    <cellStyle name="Normal 6 3 3 2 2 2 2 3 2" xfId="15763"/>
    <cellStyle name="Normal 6 3 3 2 2 2 2 4" xfId="15764"/>
    <cellStyle name="Normal 6 3 3 2 2 2 3" xfId="15765"/>
    <cellStyle name="Normal 6 3 3 2 2 2 3 2" xfId="15766"/>
    <cellStyle name="Normal 6 3 3 2 2 2 3 2 2" xfId="15767"/>
    <cellStyle name="Normal 6 3 3 2 2 2 3 3" xfId="15768"/>
    <cellStyle name="Normal 6 3 3 2 2 2 4" xfId="15769"/>
    <cellStyle name="Normal 6 3 3 2 2 2 4 2" xfId="15770"/>
    <cellStyle name="Normal 6 3 3 2 2 2 5" xfId="15771"/>
    <cellStyle name="Normal 6 3 3 2 2 3" xfId="15772"/>
    <cellStyle name="Normal 6 3 3 2 2 3 2" xfId="15773"/>
    <cellStyle name="Normal 6 3 3 2 2 3 2 2" xfId="15774"/>
    <cellStyle name="Normal 6 3 3 2 2 3 2 2 2" xfId="15775"/>
    <cellStyle name="Normal 6 3 3 2 2 3 2 3" xfId="15776"/>
    <cellStyle name="Normal 6 3 3 2 2 3 3" xfId="15777"/>
    <cellStyle name="Normal 6 3 3 2 2 3 3 2" xfId="15778"/>
    <cellStyle name="Normal 6 3 3 2 2 3 4" xfId="15779"/>
    <cellStyle name="Normal 6 3 3 2 2 4" xfId="15780"/>
    <cellStyle name="Normal 6 3 3 2 2 4 2" xfId="15781"/>
    <cellStyle name="Normal 6 3 3 2 2 4 2 2" xfId="15782"/>
    <cellStyle name="Normal 6 3 3 2 2 4 3" xfId="15783"/>
    <cellStyle name="Normal 6 3 3 2 2 5" xfId="15784"/>
    <cellStyle name="Normal 6 3 3 2 2 5 2" xfId="15785"/>
    <cellStyle name="Normal 6 3 3 2 2 6" xfId="15786"/>
    <cellStyle name="Normal 6 3 3 2 3" xfId="15787"/>
    <cellStyle name="Normal 6 3 3 2 3 2" xfId="15788"/>
    <cellStyle name="Normal 6 3 3 2 3 2 2" xfId="15789"/>
    <cellStyle name="Normal 6 3 3 2 3 2 2 2" xfId="15790"/>
    <cellStyle name="Normal 6 3 3 2 3 2 2 2 2" xfId="15791"/>
    <cellStyle name="Normal 6 3 3 2 3 2 2 3" xfId="15792"/>
    <cellStyle name="Normal 6 3 3 2 3 2 3" xfId="15793"/>
    <cellStyle name="Normal 6 3 3 2 3 2 3 2" xfId="15794"/>
    <cellStyle name="Normal 6 3 3 2 3 2 4" xfId="15795"/>
    <cellStyle name="Normal 6 3 3 2 3 3" xfId="15796"/>
    <cellStyle name="Normal 6 3 3 2 3 3 2" xfId="15797"/>
    <cellStyle name="Normal 6 3 3 2 3 3 2 2" xfId="15798"/>
    <cellStyle name="Normal 6 3 3 2 3 3 3" xfId="15799"/>
    <cellStyle name="Normal 6 3 3 2 3 4" xfId="15800"/>
    <cellStyle name="Normal 6 3 3 2 3 4 2" xfId="15801"/>
    <cellStyle name="Normal 6 3 3 2 3 5" xfId="15802"/>
    <cellStyle name="Normal 6 3 3 2 4" xfId="15803"/>
    <cellStyle name="Normal 6 3 3 2 4 2" xfId="15804"/>
    <cellStyle name="Normal 6 3 3 2 4 2 2" xfId="15805"/>
    <cellStyle name="Normal 6 3 3 2 4 2 2 2" xfId="15806"/>
    <cellStyle name="Normal 6 3 3 2 4 2 3" xfId="15807"/>
    <cellStyle name="Normal 6 3 3 2 4 3" xfId="15808"/>
    <cellStyle name="Normal 6 3 3 2 4 3 2" xfId="15809"/>
    <cellStyle name="Normal 6 3 3 2 4 4" xfId="15810"/>
    <cellStyle name="Normal 6 3 3 2 5" xfId="15811"/>
    <cellStyle name="Normal 6 3 3 2 5 2" xfId="15812"/>
    <cellStyle name="Normal 6 3 3 2 5 2 2" xfId="15813"/>
    <cellStyle name="Normal 6 3 3 2 5 3" xfId="15814"/>
    <cellStyle name="Normal 6 3 3 2 6" xfId="15815"/>
    <cellStyle name="Normal 6 3 3 2 6 2" xfId="15816"/>
    <cellStyle name="Normal 6 3 3 2 7" xfId="15817"/>
    <cellStyle name="Normal 6 3 3 3" xfId="15818"/>
    <cellStyle name="Normal 6 3 3 3 2" xfId="15819"/>
    <cellStyle name="Normal 6 3 3 3 2 2" xfId="15820"/>
    <cellStyle name="Normal 6 3 3 3 2 2 2" xfId="15821"/>
    <cellStyle name="Normal 6 3 3 3 2 2 2 2" xfId="15822"/>
    <cellStyle name="Normal 6 3 3 3 2 2 2 2 2" xfId="15823"/>
    <cellStyle name="Normal 6 3 3 3 2 2 2 3" xfId="15824"/>
    <cellStyle name="Normal 6 3 3 3 2 2 3" xfId="15825"/>
    <cellStyle name="Normal 6 3 3 3 2 2 3 2" xfId="15826"/>
    <cellStyle name="Normal 6 3 3 3 2 2 4" xfId="15827"/>
    <cellStyle name="Normal 6 3 3 3 2 3" xfId="15828"/>
    <cellStyle name="Normal 6 3 3 3 2 3 2" xfId="15829"/>
    <cellStyle name="Normal 6 3 3 3 2 3 2 2" xfId="15830"/>
    <cellStyle name="Normal 6 3 3 3 2 3 3" xfId="15831"/>
    <cellStyle name="Normal 6 3 3 3 2 4" xfId="15832"/>
    <cellStyle name="Normal 6 3 3 3 2 4 2" xfId="15833"/>
    <cellStyle name="Normal 6 3 3 3 2 5" xfId="15834"/>
    <cellStyle name="Normal 6 3 3 3 3" xfId="15835"/>
    <cellStyle name="Normal 6 3 3 3 3 2" xfId="15836"/>
    <cellStyle name="Normal 6 3 3 3 3 2 2" xfId="15837"/>
    <cellStyle name="Normal 6 3 3 3 3 2 2 2" xfId="15838"/>
    <cellStyle name="Normal 6 3 3 3 3 2 3" xfId="15839"/>
    <cellStyle name="Normal 6 3 3 3 3 3" xfId="15840"/>
    <cellStyle name="Normal 6 3 3 3 3 3 2" xfId="15841"/>
    <cellStyle name="Normal 6 3 3 3 3 4" xfId="15842"/>
    <cellStyle name="Normal 6 3 3 3 4" xfId="15843"/>
    <cellStyle name="Normal 6 3 3 3 4 2" xfId="15844"/>
    <cellStyle name="Normal 6 3 3 3 4 2 2" xfId="15845"/>
    <cellStyle name="Normal 6 3 3 3 4 3" xfId="15846"/>
    <cellStyle name="Normal 6 3 3 3 5" xfId="15847"/>
    <cellStyle name="Normal 6 3 3 3 5 2" xfId="15848"/>
    <cellStyle name="Normal 6 3 3 3 6" xfId="15849"/>
    <cellStyle name="Normal 6 3 3 4" xfId="15850"/>
    <cellStyle name="Normal 6 3 3 4 2" xfId="15851"/>
    <cellStyle name="Normal 6 3 3 4 2 2" xfId="15852"/>
    <cellStyle name="Normal 6 3 3 4 2 2 2" xfId="15853"/>
    <cellStyle name="Normal 6 3 3 4 2 2 2 2" xfId="15854"/>
    <cellStyle name="Normal 6 3 3 4 2 2 3" xfId="15855"/>
    <cellStyle name="Normal 6 3 3 4 2 3" xfId="15856"/>
    <cellStyle name="Normal 6 3 3 4 2 3 2" xfId="15857"/>
    <cellStyle name="Normal 6 3 3 4 2 4" xfId="15858"/>
    <cellStyle name="Normal 6 3 3 4 3" xfId="15859"/>
    <cellStyle name="Normal 6 3 3 4 3 2" xfId="15860"/>
    <cellStyle name="Normal 6 3 3 4 3 2 2" xfId="15861"/>
    <cellStyle name="Normal 6 3 3 4 3 3" xfId="15862"/>
    <cellStyle name="Normal 6 3 3 4 4" xfId="15863"/>
    <cellStyle name="Normal 6 3 3 4 4 2" xfId="15864"/>
    <cellStyle name="Normal 6 3 3 4 5" xfId="15865"/>
    <cellStyle name="Normal 6 3 3 5" xfId="15866"/>
    <cellStyle name="Normal 6 3 3 5 2" xfId="15867"/>
    <cellStyle name="Normal 6 3 3 5 2 2" xfId="15868"/>
    <cellStyle name="Normal 6 3 3 5 2 2 2" xfId="15869"/>
    <cellStyle name="Normal 6 3 3 5 2 3" xfId="15870"/>
    <cellStyle name="Normal 6 3 3 5 3" xfId="15871"/>
    <cellStyle name="Normal 6 3 3 5 3 2" xfId="15872"/>
    <cellStyle name="Normal 6 3 3 5 4" xfId="15873"/>
    <cellStyle name="Normal 6 3 3 6" xfId="15874"/>
    <cellStyle name="Normal 6 3 3 6 2" xfId="15875"/>
    <cellStyle name="Normal 6 3 3 6 2 2" xfId="15876"/>
    <cellStyle name="Normal 6 3 3 6 3" xfId="15877"/>
    <cellStyle name="Normal 6 3 3 7" xfId="15878"/>
    <cellStyle name="Normal 6 3 3 7 2" xfId="15879"/>
    <cellStyle name="Normal 6 3 3 8" xfId="15880"/>
    <cellStyle name="Normal 6 3 4" xfId="15881"/>
    <cellStyle name="Normal 6 3 4 2" xfId="15882"/>
    <cellStyle name="Normal 6 3 4 2 2" xfId="15883"/>
    <cellStyle name="Normal 6 3 4 2 2 2" xfId="15884"/>
    <cellStyle name="Normal 6 3 4 2 2 2 2" xfId="15885"/>
    <cellStyle name="Normal 6 3 4 2 2 2 2 2" xfId="15886"/>
    <cellStyle name="Normal 6 3 4 2 2 2 2 2 2" xfId="15887"/>
    <cellStyle name="Normal 6 3 4 2 2 2 2 3" xfId="15888"/>
    <cellStyle name="Normal 6 3 4 2 2 2 3" xfId="15889"/>
    <cellStyle name="Normal 6 3 4 2 2 2 3 2" xfId="15890"/>
    <cellStyle name="Normal 6 3 4 2 2 2 4" xfId="15891"/>
    <cellStyle name="Normal 6 3 4 2 2 3" xfId="15892"/>
    <cellStyle name="Normal 6 3 4 2 2 3 2" xfId="15893"/>
    <cellStyle name="Normal 6 3 4 2 2 3 2 2" xfId="15894"/>
    <cellStyle name="Normal 6 3 4 2 2 3 3" xfId="15895"/>
    <cellStyle name="Normal 6 3 4 2 2 4" xfId="15896"/>
    <cellStyle name="Normal 6 3 4 2 2 4 2" xfId="15897"/>
    <cellStyle name="Normal 6 3 4 2 2 5" xfId="15898"/>
    <cellStyle name="Normal 6 3 4 2 3" xfId="15899"/>
    <cellStyle name="Normal 6 3 4 2 3 2" xfId="15900"/>
    <cellStyle name="Normal 6 3 4 2 3 2 2" xfId="15901"/>
    <cellStyle name="Normal 6 3 4 2 3 2 2 2" xfId="15902"/>
    <cellStyle name="Normal 6 3 4 2 3 2 3" xfId="15903"/>
    <cellStyle name="Normal 6 3 4 2 3 3" xfId="15904"/>
    <cellStyle name="Normal 6 3 4 2 3 3 2" xfId="15905"/>
    <cellStyle name="Normal 6 3 4 2 3 4" xfId="15906"/>
    <cellStyle name="Normal 6 3 4 2 4" xfId="15907"/>
    <cellStyle name="Normal 6 3 4 2 4 2" xfId="15908"/>
    <cellStyle name="Normal 6 3 4 2 4 2 2" xfId="15909"/>
    <cellStyle name="Normal 6 3 4 2 4 3" xfId="15910"/>
    <cellStyle name="Normal 6 3 4 2 5" xfId="15911"/>
    <cellStyle name="Normal 6 3 4 2 5 2" xfId="15912"/>
    <cellStyle name="Normal 6 3 4 2 6" xfId="15913"/>
    <cellStyle name="Normal 6 3 4 3" xfId="15914"/>
    <cellStyle name="Normal 6 3 4 3 2" xfId="15915"/>
    <cellStyle name="Normal 6 3 4 3 2 2" xfId="15916"/>
    <cellStyle name="Normal 6 3 4 3 2 2 2" xfId="15917"/>
    <cellStyle name="Normal 6 3 4 3 2 2 2 2" xfId="15918"/>
    <cellStyle name="Normal 6 3 4 3 2 2 3" xfId="15919"/>
    <cellStyle name="Normal 6 3 4 3 2 3" xfId="15920"/>
    <cellStyle name="Normal 6 3 4 3 2 3 2" xfId="15921"/>
    <cellStyle name="Normal 6 3 4 3 2 4" xfId="15922"/>
    <cellStyle name="Normal 6 3 4 3 3" xfId="15923"/>
    <cellStyle name="Normal 6 3 4 3 3 2" xfId="15924"/>
    <cellStyle name="Normal 6 3 4 3 3 2 2" xfId="15925"/>
    <cellStyle name="Normal 6 3 4 3 3 3" xfId="15926"/>
    <cellStyle name="Normal 6 3 4 3 4" xfId="15927"/>
    <cellStyle name="Normal 6 3 4 3 4 2" xfId="15928"/>
    <cellStyle name="Normal 6 3 4 3 5" xfId="15929"/>
    <cellStyle name="Normal 6 3 4 4" xfId="15930"/>
    <cellStyle name="Normal 6 3 4 4 2" xfId="15931"/>
    <cellStyle name="Normal 6 3 4 4 2 2" xfId="15932"/>
    <cellStyle name="Normal 6 3 4 4 2 2 2" xfId="15933"/>
    <cellStyle name="Normal 6 3 4 4 2 3" xfId="15934"/>
    <cellStyle name="Normal 6 3 4 4 3" xfId="15935"/>
    <cellStyle name="Normal 6 3 4 4 3 2" xfId="15936"/>
    <cellStyle name="Normal 6 3 4 4 4" xfId="15937"/>
    <cellStyle name="Normal 6 3 4 5" xfId="15938"/>
    <cellStyle name="Normal 6 3 4 5 2" xfId="15939"/>
    <cellStyle name="Normal 6 3 4 5 2 2" xfId="15940"/>
    <cellStyle name="Normal 6 3 4 5 3" xfId="15941"/>
    <cellStyle name="Normal 6 3 4 6" xfId="15942"/>
    <cellStyle name="Normal 6 3 4 6 2" xfId="15943"/>
    <cellStyle name="Normal 6 3 4 7" xfId="15944"/>
    <cellStyle name="Normal 6 3 5" xfId="15945"/>
    <cellStyle name="Normal 6 3 5 2" xfId="15946"/>
    <cellStyle name="Normal 6 3 5 2 2" xfId="15947"/>
    <cellStyle name="Normal 6 3 5 2 2 2" xfId="15948"/>
    <cellStyle name="Normal 6 3 5 2 2 2 2" xfId="15949"/>
    <cellStyle name="Normal 6 3 5 2 2 2 2 2" xfId="15950"/>
    <cellStyle name="Normal 6 3 5 2 2 2 3" xfId="15951"/>
    <cellStyle name="Normal 6 3 5 2 2 3" xfId="15952"/>
    <cellStyle name="Normal 6 3 5 2 2 3 2" xfId="15953"/>
    <cellStyle name="Normal 6 3 5 2 2 4" xfId="15954"/>
    <cellStyle name="Normal 6 3 5 2 3" xfId="15955"/>
    <cellStyle name="Normal 6 3 5 2 3 2" xfId="15956"/>
    <cellStyle name="Normal 6 3 5 2 3 2 2" xfId="15957"/>
    <cellStyle name="Normal 6 3 5 2 3 3" xfId="15958"/>
    <cellStyle name="Normal 6 3 5 2 4" xfId="15959"/>
    <cellStyle name="Normal 6 3 5 2 4 2" xfId="15960"/>
    <cellStyle name="Normal 6 3 5 2 5" xfId="15961"/>
    <cellStyle name="Normal 6 3 5 3" xfId="15962"/>
    <cellStyle name="Normal 6 3 5 3 2" xfId="15963"/>
    <cellStyle name="Normal 6 3 5 3 2 2" xfId="15964"/>
    <cellStyle name="Normal 6 3 5 3 2 2 2" xfId="15965"/>
    <cellStyle name="Normal 6 3 5 3 2 3" xfId="15966"/>
    <cellStyle name="Normal 6 3 5 3 3" xfId="15967"/>
    <cellStyle name="Normal 6 3 5 3 3 2" xfId="15968"/>
    <cellStyle name="Normal 6 3 5 3 4" xfId="15969"/>
    <cellStyle name="Normal 6 3 5 4" xfId="15970"/>
    <cellStyle name="Normal 6 3 5 4 2" xfId="15971"/>
    <cellStyle name="Normal 6 3 5 4 2 2" xfId="15972"/>
    <cellStyle name="Normal 6 3 5 4 3" xfId="15973"/>
    <cellStyle name="Normal 6 3 5 5" xfId="15974"/>
    <cellStyle name="Normal 6 3 5 5 2" xfId="15975"/>
    <cellStyle name="Normal 6 3 5 6" xfId="15976"/>
    <cellStyle name="Normal 6 3 6" xfId="15977"/>
    <cellStyle name="Normal 6 3 6 2" xfId="15978"/>
    <cellStyle name="Normal 6 3 6 2 2" xfId="15979"/>
    <cellStyle name="Normal 6 3 6 2 2 2" xfId="15980"/>
    <cellStyle name="Normal 6 3 6 2 2 2 2" xfId="15981"/>
    <cellStyle name="Normal 6 3 6 2 2 3" xfId="15982"/>
    <cellStyle name="Normal 6 3 6 2 3" xfId="15983"/>
    <cellStyle name="Normal 6 3 6 2 3 2" xfId="15984"/>
    <cellStyle name="Normal 6 3 6 2 4" xfId="15985"/>
    <cellStyle name="Normal 6 3 6 3" xfId="15986"/>
    <cellStyle name="Normal 6 3 6 3 2" xfId="15987"/>
    <cellStyle name="Normal 6 3 6 3 2 2" xfId="15988"/>
    <cellStyle name="Normal 6 3 6 3 3" xfId="15989"/>
    <cellStyle name="Normal 6 3 6 4" xfId="15990"/>
    <cellStyle name="Normal 6 3 6 4 2" xfId="15991"/>
    <cellStyle name="Normal 6 3 6 5" xfId="15992"/>
    <cellStyle name="Normal 6 3 7" xfId="15993"/>
    <cellStyle name="Normal 6 3 7 2" xfId="15994"/>
    <cellStyle name="Normal 6 3 7 2 2" xfId="15995"/>
    <cellStyle name="Normal 6 3 7 2 2 2" xfId="15996"/>
    <cellStyle name="Normal 6 3 7 2 3" xfId="15997"/>
    <cellStyle name="Normal 6 3 7 3" xfId="15998"/>
    <cellStyle name="Normal 6 3 7 3 2" xfId="15999"/>
    <cellStyle name="Normal 6 3 7 4" xfId="16000"/>
    <cellStyle name="Normal 6 3 8" xfId="16001"/>
    <cellStyle name="Normal 6 3 8 2" xfId="16002"/>
    <cellStyle name="Normal 6 3 8 2 2" xfId="16003"/>
    <cellStyle name="Normal 6 3 8 3" xfId="16004"/>
    <cellStyle name="Normal 6 3 9" xfId="16005"/>
    <cellStyle name="Normal 6 3 9 2" xfId="16006"/>
    <cellStyle name="Normal 6 4" xfId="16007"/>
    <cellStyle name="Normal 6 4 2" xfId="16008"/>
    <cellStyle name="Normal 6 4 2 2" xfId="16009"/>
    <cellStyle name="Normal 6 4 2 2 2" xfId="16010"/>
    <cellStyle name="Normal 6 4 2 2 2 2" xfId="16011"/>
    <cellStyle name="Normal 6 4 2 2 2 2 2" xfId="16012"/>
    <cellStyle name="Normal 6 4 2 2 2 2 2 2" xfId="16013"/>
    <cellStyle name="Normal 6 4 2 2 2 2 2 2 2" xfId="16014"/>
    <cellStyle name="Normal 6 4 2 2 2 2 2 2 2 2" xfId="16015"/>
    <cellStyle name="Normal 6 4 2 2 2 2 2 2 3" xfId="16016"/>
    <cellStyle name="Normal 6 4 2 2 2 2 2 3" xfId="16017"/>
    <cellStyle name="Normal 6 4 2 2 2 2 2 3 2" xfId="16018"/>
    <cellStyle name="Normal 6 4 2 2 2 2 2 4" xfId="16019"/>
    <cellStyle name="Normal 6 4 2 2 2 2 3" xfId="16020"/>
    <cellStyle name="Normal 6 4 2 2 2 2 3 2" xfId="16021"/>
    <cellStyle name="Normal 6 4 2 2 2 2 3 2 2" xfId="16022"/>
    <cellStyle name="Normal 6 4 2 2 2 2 3 3" xfId="16023"/>
    <cellStyle name="Normal 6 4 2 2 2 2 4" xfId="16024"/>
    <cellStyle name="Normal 6 4 2 2 2 2 4 2" xfId="16025"/>
    <cellStyle name="Normal 6 4 2 2 2 2 5" xfId="16026"/>
    <cellStyle name="Normal 6 4 2 2 2 3" xfId="16027"/>
    <cellStyle name="Normal 6 4 2 2 2 3 2" xfId="16028"/>
    <cellStyle name="Normal 6 4 2 2 2 3 2 2" xfId="16029"/>
    <cellStyle name="Normal 6 4 2 2 2 3 2 2 2" xfId="16030"/>
    <cellStyle name="Normal 6 4 2 2 2 3 2 3" xfId="16031"/>
    <cellStyle name="Normal 6 4 2 2 2 3 3" xfId="16032"/>
    <cellStyle name="Normal 6 4 2 2 2 3 3 2" xfId="16033"/>
    <cellStyle name="Normal 6 4 2 2 2 3 4" xfId="16034"/>
    <cellStyle name="Normal 6 4 2 2 2 4" xfId="16035"/>
    <cellStyle name="Normal 6 4 2 2 2 4 2" xfId="16036"/>
    <cellStyle name="Normal 6 4 2 2 2 4 2 2" xfId="16037"/>
    <cellStyle name="Normal 6 4 2 2 2 4 3" xfId="16038"/>
    <cellStyle name="Normal 6 4 2 2 2 5" xfId="16039"/>
    <cellStyle name="Normal 6 4 2 2 2 5 2" xfId="16040"/>
    <cellStyle name="Normal 6 4 2 2 2 6" xfId="16041"/>
    <cellStyle name="Normal 6 4 2 2 3" xfId="16042"/>
    <cellStyle name="Normal 6 4 2 2 3 2" xfId="16043"/>
    <cellStyle name="Normal 6 4 2 2 3 2 2" xfId="16044"/>
    <cellStyle name="Normal 6 4 2 2 3 2 2 2" xfId="16045"/>
    <cellStyle name="Normal 6 4 2 2 3 2 2 2 2" xfId="16046"/>
    <cellStyle name="Normal 6 4 2 2 3 2 2 3" xfId="16047"/>
    <cellStyle name="Normal 6 4 2 2 3 2 3" xfId="16048"/>
    <cellStyle name="Normal 6 4 2 2 3 2 3 2" xfId="16049"/>
    <cellStyle name="Normal 6 4 2 2 3 2 4" xfId="16050"/>
    <cellStyle name="Normal 6 4 2 2 3 3" xfId="16051"/>
    <cellStyle name="Normal 6 4 2 2 3 3 2" xfId="16052"/>
    <cellStyle name="Normal 6 4 2 2 3 3 2 2" xfId="16053"/>
    <cellStyle name="Normal 6 4 2 2 3 3 3" xfId="16054"/>
    <cellStyle name="Normal 6 4 2 2 3 4" xfId="16055"/>
    <cellStyle name="Normal 6 4 2 2 3 4 2" xfId="16056"/>
    <cellStyle name="Normal 6 4 2 2 3 5" xfId="16057"/>
    <cellStyle name="Normal 6 4 2 2 4" xfId="16058"/>
    <cellStyle name="Normal 6 4 2 2 4 2" xfId="16059"/>
    <cellStyle name="Normal 6 4 2 2 4 2 2" xfId="16060"/>
    <cellStyle name="Normal 6 4 2 2 4 2 2 2" xfId="16061"/>
    <cellStyle name="Normal 6 4 2 2 4 2 3" xfId="16062"/>
    <cellStyle name="Normal 6 4 2 2 4 3" xfId="16063"/>
    <cellStyle name="Normal 6 4 2 2 4 3 2" xfId="16064"/>
    <cellStyle name="Normal 6 4 2 2 4 4" xfId="16065"/>
    <cellStyle name="Normal 6 4 2 2 5" xfId="16066"/>
    <cellStyle name="Normal 6 4 2 2 5 2" xfId="16067"/>
    <cellStyle name="Normal 6 4 2 2 5 2 2" xfId="16068"/>
    <cellStyle name="Normal 6 4 2 2 5 3" xfId="16069"/>
    <cellStyle name="Normal 6 4 2 2 6" xfId="16070"/>
    <cellStyle name="Normal 6 4 2 2 6 2" xfId="16071"/>
    <cellStyle name="Normal 6 4 2 2 7" xfId="16072"/>
    <cellStyle name="Normal 6 4 2 3" xfId="16073"/>
    <cellStyle name="Normal 6 4 2 3 2" xfId="16074"/>
    <cellStyle name="Normal 6 4 2 3 2 2" xfId="16075"/>
    <cellStyle name="Normal 6 4 2 3 2 2 2" xfId="16076"/>
    <cellStyle name="Normal 6 4 2 3 2 2 2 2" xfId="16077"/>
    <cellStyle name="Normal 6 4 2 3 2 2 2 2 2" xfId="16078"/>
    <cellStyle name="Normal 6 4 2 3 2 2 2 3" xfId="16079"/>
    <cellStyle name="Normal 6 4 2 3 2 2 3" xfId="16080"/>
    <cellStyle name="Normal 6 4 2 3 2 2 3 2" xfId="16081"/>
    <cellStyle name="Normal 6 4 2 3 2 2 4" xfId="16082"/>
    <cellStyle name="Normal 6 4 2 3 2 3" xfId="16083"/>
    <cellStyle name="Normal 6 4 2 3 2 3 2" xfId="16084"/>
    <cellStyle name="Normal 6 4 2 3 2 3 2 2" xfId="16085"/>
    <cellStyle name="Normal 6 4 2 3 2 3 3" xfId="16086"/>
    <cellStyle name="Normal 6 4 2 3 2 4" xfId="16087"/>
    <cellStyle name="Normal 6 4 2 3 2 4 2" xfId="16088"/>
    <cellStyle name="Normal 6 4 2 3 2 5" xfId="16089"/>
    <cellStyle name="Normal 6 4 2 3 3" xfId="16090"/>
    <cellStyle name="Normal 6 4 2 3 3 2" xfId="16091"/>
    <cellStyle name="Normal 6 4 2 3 3 2 2" xfId="16092"/>
    <cellStyle name="Normal 6 4 2 3 3 2 2 2" xfId="16093"/>
    <cellStyle name="Normal 6 4 2 3 3 2 3" xfId="16094"/>
    <cellStyle name="Normal 6 4 2 3 3 3" xfId="16095"/>
    <cellStyle name="Normal 6 4 2 3 3 3 2" xfId="16096"/>
    <cellStyle name="Normal 6 4 2 3 3 4" xfId="16097"/>
    <cellStyle name="Normal 6 4 2 3 4" xfId="16098"/>
    <cellStyle name="Normal 6 4 2 3 4 2" xfId="16099"/>
    <cellStyle name="Normal 6 4 2 3 4 2 2" xfId="16100"/>
    <cellStyle name="Normal 6 4 2 3 4 3" xfId="16101"/>
    <cellStyle name="Normal 6 4 2 3 5" xfId="16102"/>
    <cellStyle name="Normal 6 4 2 3 5 2" xfId="16103"/>
    <cellStyle name="Normal 6 4 2 3 6" xfId="16104"/>
    <cellStyle name="Normal 6 4 2 4" xfId="16105"/>
    <cellStyle name="Normal 6 4 2 4 2" xfId="16106"/>
    <cellStyle name="Normal 6 4 2 4 2 2" xfId="16107"/>
    <cellStyle name="Normal 6 4 2 4 2 2 2" xfId="16108"/>
    <cellStyle name="Normal 6 4 2 4 2 2 2 2" xfId="16109"/>
    <cellStyle name="Normal 6 4 2 4 2 2 3" xfId="16110"/>
    <cellStyle name="Normal 6 4 2 4 2 3" xfId="16111"/>
    <cellStyle name="Normal 6 4 2 4 2 3 2" xfId="16112"/>
    <cellStyle name="Normal 6 4 2 4 2 4" xfId="16113"/>
    <cellStyle name="Normal 6 4 2 4 3" xfId="16114"/>
    <cellStyle name="Normal 6 4 2 4 3 2" xfId="16115"/>
    <cellStyle name="Normal 6 4 2 4 3 2 2" xfId="16116"/>
    <cellStyle name="Normal 6 4 2 4 3 3" xfId="16117"/>
    <cellStyle name="Normal 6 4 2 4 4" xfId="16118"/>
    <cellStyle name="Normal 6 4 2 4 4 2" xfId="16119"/>
    <cellStyle name="Normal 6 4 2 4 5" xfId="16120"/>
    <cellStyle name="Normal 6 4 2 5" xfId="16121"/>
    <cellStyle name="Normal 6 4 2 5 2" xfId="16122"/>
    <cellStyle name="Normal 6 4 2 5 2 2" xfId="16123"/>
    <cellStyle name="Normal 6 4 2 5 2 2 2" xfId="16124"/>
    <cellStyle name="Normal 6 4 2 5 2 3" xfId="16125"/>
    <cellStyle name="Normal 6 4 2 5 3" xfId="16126"/>
    <cellStyle name="Normal 6 4 2 5 3 2" xfId="16127"/>
    <cellStyle name="Normal 6 4 2 5 4" xfId="16128"/>
    <cellStyle name="Normal 6 4 2 6" xfId="16129"/>
    <cellStyle name="Normal 6 4 2 6 2" xfId="16130"/>
    <cellStyle name="Normal 6 4 2 6 2 2" xfId="16131"/>
    <cellStyle name="Normal 6 4 2 6 3" xfId="16132"/>
    <cellStyle name="Normal 6 4 2 7" xfId="16133"/>
    <cellStyle name="Normal 6 4 2 7 2" xfId="16134"/>
    <cellStyle name="Normal 6 4 2 8" xfId="16135"/>
    <cellStyle name="Normal 6 4 3" xfId="16136"/>
    <cellStyle name="Normal 6 4 3 2" xfId="16137"/>
    <cellStyle name="Normal 6 4 3 2 2" xfId="16138"/>
    <cellStyle name="Normal 6 4 3 2 2 2" xfId="16139"/>
    <cellStyle name="Normal 6 4 3 2 2 2 2" xfId="16140"/>
    <cellStyle name="Normal 6 4 3 2 2 2 2 2" xfId="16141"/>
    <cellStyle name="Normal 6 4 3 2 2 2 2 2 2" xfId="16142"/>
    <cellStyle name="Normal 6 4 3 2 2 2 2 3" xfId="16143"/>
    <cellStyle name="Normal 6 4 3 2 2 2 3" xfId="16144"/>
    <cellStyle name="Normal 6 4 3 2 2 2 3 2" xfId="16145"/>
    <cellStyle name="Normal 6 4 3 2 2 2 4" xfId="16146"/>
    <cellStyle name="Normal 6 4 3 2 2 3" xfId="16147"/>
    <cellStyle name="Normal 6 4 3 2 2 3 2" xfId="16148"/>
    <cellStyle name="Normal 6 4 3 2 2 3 2 2" xfId="16149"/>
    <cellStyle name="Normal 6 4 3 2 2 3 3" xfId="16150"/>
    <cellStyle name="Normal 6 4 3 2 2 4" xfId="16151"/>
    <cellStyle name="Normal 6 4 3 2 2 4 2" xfId="16152"/>
    <cellStyle name="Normal 6 4 3 2 2 5" xfId="16153"/>
    <cellStyle name="Normal 6 4 3 2 3" xfId="16154"/>
    <cellStyle name="Normal 6 4 3 2 3 2" xfId="16155"/>
    <cellStyle name="Normal 6 4 3 2 3 2 2" xfId="16156"/>
    <cellStyle name="Normal 6 4 3 2 3 2 2 2" xfId="16157"/>
    <cellStyle name="Normal 6 4 3 2 3 2 3" xfId="16158"/>
    <cellStyle name="Normal 6 4 3 2 3 3" xfId="16159"/>
    <cellStyle name="Normal 6 4 3 2 3 3 2" xfId="16160"/>
    <cellStyle name="Normal 6 4 3 2 3 4" xfId="16161"/>
    <cellStyle name="Normal 6 4 3 2 4" xfId="16162"/>
    <cellStyle name="Normal 6 4 3 2 4 2" xfId="16163"/>
    <cellStyle name="Normal 6 4 3 2 4 2 2" xfId="16164"/>
    <cellStyle name="Normal 6 4 3 2 4 3" xfId="16165"/>
    <cellStyle name="Normal 6 4 3 2 5" xfId="16166"/>
    <cellStyle name="Normal 6 4 3 2 5 2" xfId="16167"/>
    <cellStyle name="Normal 6 4 3 2 6" xfId="16168"/>
    <cellStyle name="Normal 6 4 3 3" xfId="16169"/>
    <cellStyle name="Normal 6 4 3 3 2" xfId="16170"/>
    <cellStyle name="Normal 6 4 3 3 2 2" xfId="16171"/>
    <cellStyle name="Normal 6 4 3 3 2 2 2" xfId="16172"/>
    <cellStyle name="Normal 6 4 3 3 2 2 2 2" xfId="16173"/>
    <cellStyle name="Normal 6 4 3 3 2 2 3" xfId="16174"/>
    <cellStyle name="Normal 6 4 3 3 2 3" xfId="16175"/>
    <cellStyle name="Normal 6 4 3 3 2 3 2" xfId="16176"/>
    <cellStyle name="Normal 6 4 3 3 2 4" xfId="16177"/>
    <cellStyle name="Normal 6 4 3 3 3" xfId="16178"/>
    <cellStyle name="Normal 6 4 3 3 3 2" xfId="16179"/>
    <cellStyle name="Normal 6 4 3 3 3 2 2" xfId="16180"/>
    <cellStyle name="Normal 6 4 3 3 3 3" xfId="16181"/>
    <cellStyle name="Normal 6 4 3 3 4" xfId="16182"/>
    <cellStyle name="Normal 6 4 3 3 4 2" xfId="16183"/>
    <cellStyle name="Normal 6 4 3 3 5" xfId="16184"/>
    <cellStyle name="Normal 6 4 3 4" xfId="16185"/>
    <cellStyle name="Normal 6 4 3 4 2" xfId="16186"/>
    <cellStyle name="Normal 6 4 3 4 2 2" xfId="16187"/>
    <cellStyle name="Normal 6 4 3 4 2 2 2" xfId="16188"/>
    <cellStyle name="Normal 6 4 3 4 2 3" xfId="16189"/>
    <cellStyle name="Normal 6 4 3 4 3" xfId="16190"/>
    <cellStyle name="Normal 6 4 3 4 3 2" xfId="16191"/>
    <cellStyle name="Normal 6 4 3 4 4" xfId="16192"/>
    <cellStyle name="Normal 6 4 3 5" xfId="16193"/>
    <cellStyle name="Normal 6 4 3 5 2" xfId="16194"/>
    <cellStyle name="Normal 6 4 3 5 2 2" xfId="16195"/>
    <cellStyle name="Normal 6 4 3 5 3" xfId="16196"/>
    <cellStyle name="Normal 6 4 3 6" xfId="16197"/>
    <cellStyle name="Normal 6 4 3 6 2" xfId="16198"/>
    <cellStyle name="Normal 6 4 3 7" xfId="16199"/>
    <cellStyle name="Normal 6 4 4" xfId="16200"/>
    <cellStyle name="Normal 6 4 4 2" xfId="16201"/>
    <cellStyle name="Normal 6 4 4 2 2" xfId="16202"/>
    <cellStyle name="Normal 6 4 4 2 2 2" xfId="16203"/>
    <cellStyle name="Normal 6 4 4 2 2 2 2" xfId="16204"/>
    <cellStyle name="Normal 6 4 4 2 2 2 2 2" xfId="16205"/>
    <cellStyle name="Normal 6 4 4 2 2 2 3" xfId="16206"/>
    <cellStyle name="Normal 6 4 4 2 2 3" xfId="16207"/>
    <cellStyle name="Normal 6 4 4 2 2 3 2" xfId="16208"/>
    <cellStyle name="Normal 6 4 4 2 2 4" xfId="16209"/>
    <cellStyle name="Normal 6 4 4 2 3" xfId="16210"/>
    <cellStyle name="Normal 6 4 4 2 3 2" xfId="16211"/>
    <cellStyle name="Normal 6 4 4 2 3 2 2" xfId="16212"/>
    <cellStyle name="Normal 6 4 4 2 3 3" xfId="16213"/>
    <cellStyle name="Normal 6 4 4 2 4" xfId="16214"/>
    <cellStyle name="Normal 6 4 4 2 4 2" xfId="16215"/>
    <cellStyle name="Normal 6 4 4 2 5" xfId="16216"/>
    <cellStyle name="Normal 6 4 4 3" xfId="16217"/>
    <cellStyle name="Normal 6 4 4 3 2" xfId="16218"/>
    <cellStyle name="Normal 6 4 4 3 2 2" xfId="16219"/>
    <cellStyle name="Normal 6 4 4 3 2 2 2" xfId="16220"/>
    <cellStyle name="Normal 6 4 4 3 2 3" xfId="16221"/>
    <cellStyle name="Normal 6 4 4 3 3" xfId="16222"/>
    <cellStyle name="Normal 6 4 4 3 3 2" xfId="16223"/>
    <cellStyle name="Normal 6 4 4 3 4" xfId="16224"/>
    <cellStyle name="Normal 6 4 4 4" xfId="16225"/>
    <cellStyle name="Normal 6 4 4 4 2" xfId="16226"/>
    <cellStyle name="Normal 6 4 4 4 2 2" xfId="16227"/>
    <cellStyle name="Normal 6 4 4 4 3" xfId="16228"/>
    <cellStyle name="Normal 6 4 4 5" xfId="16229"/>
    <cellStyle name="Normal 6 4 4 5 2" xfId="16230"/>
    <cellStyle name="Normal 6 4 4 6" xfId="16231"/>
    <cellStyle name="Normal 6 4 5" xfId="16232"/>
    <cellStyle name="Normal 6 4 5 2" xfId="16233"/>
    <cellStyle name="Normal 6 4 5 2 2" xfId="16234"/>
    <cellStyle name="Normal 6 4 5 2 2 2" xfId="16235"/>
    <cellStyle name="Normal 6 4 5 2 2 2 2" xfId="16236"/>
    <cellStyle name="Normal 6 4 5 2 2 3" xfId="16237"/>
    <cellStyle name="Normal 6 4 5 2 3" xfId="16238"/>
    <cellStyle name="Normal 6 4 5 2 3 2" xfId="16239"/>
    <cellStyle name="Normal 6 4 5 2 4" xfId="16240"/>
    <cellStyle name="Normal 6 4 5 3" xfId="16241"/>
    <cellStyle name="Normal 6 4 5 3 2" xfId="16242"/>
    <cellStyle name="Normal 6 4 5 3 2 2" xfId="16243"/>
    <cellStyle name="Normal 6 4 5 3 3" xfId="16244"/>
    <cellStyle name="Normal 6 4 5 4" xfId="16245"/>
    <cellStyle name="Normal 6 4 5 4 2" xfId="16246"/>
    <cellStyle name="Normal 6 4 5 5" xfId="16247"/>
    <cellStyle name="Normal 6 4 6" xfId="16248"/>
    <cellStyle name="Normal 6 4 6 2" xfId="16249"/>
    <cellStyle name="Normal 6 4 6 2 2" xfId="16250"/>
    <cellStyle name="Normal 6 4 6 2 2 2" xfId="16251"/>
    <cellStyle name="Normal 6 4 6 2 3" xfId="16252"/>
    <cellStyle name="Normal 6 4 6 3" xfId="16253"/>
    <cellStyle name="Normal 6 4 6 3 2" xfId="16254"/>
    <cellStyle name="Normal 6 4 6 4" xfId="16255"/>
    <cellStyle name="Normal 6 4 7" xfId="16256"/>
    <cellStyle name="Normal 6 4 7 2" xfId="16257"/>
    <cellStyle name="Normal 6 4 7 2 2" xfId="16258"/>
    <cellStyle name="Normal 6 4 7 3" xfId="16259"/>
    <cellStyle name="Normal 6 4 8" xfId="16260"/>
    <cellStyle name="Normal 6 4 8 2" xfId="16261"/>
    <cellStyle name="Normal 6 4 9" xfId="16262"/>
    <cellStyle name="Normal 6 5" xfId="16263"/>
    <cellStyle name="Normal 6 5 2" xfId="16264"/>
    <cellStyle name="Normal 6 5 2 2" xfId="16265"/>
    <cellStyle name="Normal 6 5 2 2 2" xfId="16266"/>
    <cellStyle name="Normal 6 5 2 2 2 2" xfId="16267"/>
    <cellStyle name="Normal 6 5 2 2 2 2 2" xfId="16268"/>
    <cellStyle name="Normal 6 5 2 2 2 2 2 2" xfId="16269"/>
    <cellStyle name="Normal 6 5 2 2 2 2 2 2 2" xfId="16270"/>
    <cellStyle name="Normal 6 5 2 2 2 2 2 3" xfId="16271"/>
    <cellStyle name="Normal 6 5 2 2 2 2 3" xfId="16272"/>
    <cellStyle name="Normal 6 5 2 2 2 2 3 2" xfId="16273"/>
    <cellStyle name="Normal 6 5 2 2 2 2 4" xfId="16274"/>
    <cellStyle name="Normal 6 5 2 2 2 3" xfId="16275"/>
    <cellStyle name="Normal 6 5 2 2 2 3 2" xfId="16276"/>
    <cellStyle name="Normal 6 5 2 2 2 3 2 2" xfId="16277"/>
    <cellStyle name="Normal 6 5 2 2 2 3 3" xfId="16278"/>
    <cellStyle name="Normal 6 5 2 2 2 4" xfId="16279"/>
    <cellStyle name="Normal 6 5 2 2 2 4 2" xfId="16280"/>
    <cellStyle name="Normal 6 5 2 2 2 5" xfId="16281"/>
    <cellStyle name="Normal 6 5 2 2 3" xfId="16282"/>
    <cellStyle name="Normal 6 5 2 2 3 2" xfId="16283"/>
    <cellStyle name="Normal 6 5 2 2 3 2 2" xfId="16284"/>
    <cellStyle name="Normal 6 5 2 2 3 2 2 2" xfId="16285"/>
    <cellStyle name="Normal 6 5 2 2 3 2 3" xfId="16286"/>
    <cellStyle name="Normal 6 5 2 2 3 3" xfId="16287"/>
    <cellStyle name="Normal 6 5 2 2 3 3 2" xfId="16288"/>
    <cellStyle name="Normal 6 5 2 2 3 4" xfId="16289"/>
    <cellStyle name="Normal 6 5 2 2 4" xfId="16290"/>
    <cellStyle name="Normal 6 5 2 2 4 2" xfId="16291"/>
    <cellStyle name="Normal 6 5 2 2 4 2 2" xfId="16292"/>
    <cellStyle name="Normal 6 5 2 2 4 3" xfId="16293"/>
    <cellStyle name="Normal 6 5 2 2 5" xfId="16294"/>
    <cellStyle name="Normal 6 5 2 2 5 2" xfId="16295"/>
    <cellStyle name="Normal 6 5 2 2 6" xfId="16296"/>
    <cellStyle name="Normal 6 5 2 3" xfId="16297"/>
    <cellStyle name="Normal 6 5 2 3 2" xfId="16298"/>
    <cellStyle name="Normal 6 5 2 3 2 2" xfId="16299"/>
    <cellStyle name="Normal 6 5 2 3 2 2 2" xfId="16300"/>
    <cellStyle name="Normal 6 5 2 3 2 2 2 2" xfId="16301"/>
    <cellStyle name="Normal 6 5 2 3 2 2 3" xfId="16302"/>
    <cellStyle name="Normal 6 5 2 3 2 3" xfId="16303"/>
    <cellStyle name="Normal 6 5 2 3 2 3 2" xfId="16304"/>
    <cellStyle name="Normal 6 5 2 3 2 4" xfId="16305"/>
    <cellStyle name="Normal 6 5 2 3 3" xfId="16306"/>
    <cellStyle name="Normal 6 5 2 3 3 2" xfId="16307"/>
    <cellStyle name="Normal 6 5 2 3 3 2 2" xfId="16308"/>
    <cellStyle name="Normal 6 5 2 3 3 3" xfId="16309"/>
    <cellStyle name="Normal 6 5 2 3 4" xfId="16310"/>
    <cellStyle name="Normal 6 5 2 3 4 2" xfId="16311"/>
    <cellStyle name="Normal 6 5 2 3 5" xfId="16312"/>
    <cellStyle name="Normal 6 5 2 4" xfId="16313"/>
    <cellStyle name="Normal 6 5 2 4 2" xfId="16314"/>
    <cellStyle name="Normal 6 5 2 4 2 2" xfId="16315"/>
    <cellStyle name="Normal 6 5 2 4 2 2 2" xfId="16316"/>
    <cellStyle name="Normal 6 5 2 4 2 3" xfId="16317"/>
    <cellStyle name="Normal 6 5 2 4 3" xfId="16318"/>
    <cellStyle name="Normal 6 5 2 4 3 2" xfId="16319"/>
    <cellStyle name="Normal 6 5 2 4 4" xfId="16320"/>
    <cellStyle name="Normal 6 5 2 5" xfId="16321"/>
    <cellStyle name="Normal 6 5 2 5 2" xfId="16322"/>
    <cellStyle name="Normal 6 5 2 5 2 2" xfId="16323"/>
    <cellStyle name="Normal 6 5 2 5 3" xfId="16324"/>
    <cellStyle name="Normal 6 5 2 6" xfId="16325"/>
    <cellStyle name="Normal 6 5 2 6 2" xfId="16326"/>
    <cellStyle name="Normal 6 5 2 7" xfId="16327"/>
    <cellStyle name="Normal 6 5 3" xfId="16328"/>
    <cellStyle name="Normal 6 5 3 2" xfId="16329"/>
    <cellStyle name="Normal 6 5 3 2 2" xfId="16330"/>
    <cellStyle name="Normal 6 5 3 2 2 2" xfId="16331"/>
    <cellStyle name="Normal 6 5 3 2 2 2 2" xfId="16332"/>
    <cellStyle name="Normal 6 5 3 2 2 2 2 2" xfId="16333"/>
    <cellStyle name="Normal 6 5 3 2 2 2 3" xfId="16334"/>
    <cellStyle name="Normal 6 5 3 2 2 3" xfId="16335"/>
    <cellStyle name="Normal 6 5 3 2 2 3 2" xfId="16336"/>
    <cellStyle name="Normal 6 5 3 2 2 4" xfId="16337"/>
    <cellStyle name="Normal 6 5 3 2 3" xfId="16338"/>
    <cellStyle name="Normal 6 5 3 2 3 2" xfId="16339"/>
    <cellStyle name="Normal 6 5 3 2 3 2 2" xfId="16340"/>
    <cellStyle name="Normal 6 5 3 2 3 3" xfId="16341"/>
    <cellStyle name="Normal 6 5 3 2 4" xfId="16342"/>
    <cellStyle name="Normal 6 5 3 2 4 2" xfId="16343"/>
    <cellStyle name="Normal 6 5 3 2 5" xfId="16344"/>
    <cellStyle name="Normal 6 5 3 3" xfId="16345"/>
    <cellStyle name="Normal 6 5 3 3 2" xfId="16346"/>
    <cellStyle name="Normal 6 5 3 3 2 2" xfId="16347"/>
    <cellStyle name="Normal 6 5 3 3 2 2 2" xfId="16348"/>
    <cellStyle name="Normal 6 5 3 3 2 3" xfId="16349"/>
    <cellStyle name="Normal 6 5 3 3 3" xfId="16350"/>
    <cellStyle name="Normal 6 5 3 3 3 2" xfId="16351"/>
    <cellStyle name="Normal 6 5 3 3 4" xfId="16352"/>
    <cellStyle name="Normal 6 5 3 4" xfId="16353"/>
    <cellStyle name="Normal 6 5 3 4 2" xfId="16354"/>
    <cellStyle name="Normal 6 5 3 4 2 2" xfId="16355"/>
    <cellStyle name="Normal 6 5 3 4 3" xfId="16356"/>
    <cellStyle name="Normal 6 5 3 5" xfId="16357"/>
    <cellStyle name="Normal 6 5 3 5 2" xfId="16358"/>
    <cellStyle name="Normal 6 5 3 6" xfId="16359"/>
    <cellStyle name="Normal 6 5 4" xfId="16360"/>
    <cellStyle name="Normal 6 5 4 2" xfId="16361"/>
    <cellStyle name="Normal 6 5 4 2 2" xfId="16362"/>
    <cellStyle name="Normal 6 5 4 2 2 2" xfId="16363"/>
    <cellStyle name="Normal 6 5 4 2 2 2 2" xfId="16364"/>
    <cellStyle name="Normal 6 5 4 2 2 3" xfId="16365"/>
    <cellStyle name="Normal 6 5 4 2 3" xfId="16366"/>
    <cellStyle name="Normal 6 5 4 2 3 2" xfId="16367"/>
    <cellStyle name="Normal 6 5 4 2 4" xfId="16368"/>
    <cellStyle name="Normal 6 5 4 3" xfId="16369"/>
    <cellStyle name="Normal 6 5 4 3 2" xfId="16370"/>
    <cellStyle name="Normal 6 5 4 3 2 2" xfId="16371"/>
    <cellStyle name="Normal 6 5 4 3 3" xfId="16372"/>
    <cellStyle name="Normal 6 5 4 4" xfId="16373"/>
    <cellStyle name="Normal 6 5 4 4 2" xfId="16374"/>
    <cellStyle name="Normal 6 5 4 5" xfId="16375"/>
    <cellStyle name="Normal 6 5 5" xfId="16376"/>
    <cellStyle name="Normal 6 5 5 2" xfId="16377"/>
    <cellStyle name="Normal 6 5 5 2 2" xfId="16378"/>
    <cellStyle name="Normal 6 5 5 2 2 2" xfId="16379"/>
    <cellStyle name="Normal 6 5 5 2 3" xfId="16380"/>
    <cellStyle name="Normal 6 5 5 3" xfId="16381"/>
    <cellStyle name="Normal 6 5 5 3 2" xfId="16382"/>
    <cellStyle name="Normal 6 5 5 4" xfId="16383"/>
    <cellStyle name="Normal 6 5 6" xfId="16384"/>
    <cellStyle name="Normal 6 5 6 2" xfId="16385"/>
    <cellStyle name="Normal 6 5 6 2 2" xfId="16386"/>
    <cellStyle name="Normal 6 5 6 3" xfId="16387"/>
    <cellStyle name="Normal 6 5 7" xfId="16388"/>
    <cellStyle name="Normal 6 5 7 2" xfId="16389"/>
    <cellStyle name="Normal 6 5 8" xfId="16390"/>
    <cellStyle name="Normal 6 6" xfId="16391"/>
    <cellStyle name="Normal 6 6 2" xfId="16392"/>
    <cellStyle name="Normal 6 6 2 2" xfId="16393"/>
    <cellStyle name="Normal 6 6 2 2 2" xfId="16394"/>
    <cellStyle name="Normal 6 6 2 2 2 2" xfId="16395"/>
    <cellStyle name="Normal 6 6 2 2 2 2 2" xfId="16396"/>
    <cellStyle name="Normal 6 6 2 2 2 2 2 2" xfId="16397"/>
    <cellStyle name="Normal 6 6 2 2 2 2 3" xfId="16398"/>
    <cellStyle name="Normal 6 6 2 2 2 3" xfId="16399"/>
    <cellStyle name="Normal 6 6 2 2 2 3 2" xfId="16400"/>
    <cellStyle name="Normal 6 6 2 2 2 4" xfId="16401"/>
    <cellStyle name="Normal 6 6 2 2 3" xfId="16402"/>
    <cellStyle name="Normal 6 6 2 2 3 2" xfId="16403"/>
    <cellStyle name="Normal 6 6 2 2 3 2 2" xfId="16404"/>
    <cellStyle name="Normal 6 6 2 2 3 3" xfId="16405"/>
    <cellStyle name="Normal 6 6 2 2 4" xfId="16406"/>
    <cellStyle name="Normal 6 6 2 2 4 2" xfId="16407"/>
    <cellStyle name="Normal 6 6 2 2 5" xfId="16408"/>
    <cellStyle name="Normal 6 6 2 3" xfId="16409"/>
    <cellStyle name="Normal 6 6 2 3 2" xfId="16410"/>
    <cellStyle name="Normal 6 6 2 3 2 2" xfId="16411"/>
    <cellStyle name="Normal 6 6 2 3 2 2 2" xfId="16412"/>
    <cellStyle name="Normal 6 6 2 3 2 3" xfId="16413"/>
    <cellStyle name="Normal 6 6 2 3 3" xfId="16414"/>
    <cellStyle name="Normal 6 6 2 3 3 2" xfId="16415"/>
    <cellStyle name="Normal 6 6 2 3 4" xfId="16416"/>
    <cellStyle name="Normal 6 6 2 4" xfId="16417"/>
    <cellStyle name="Normal 6 6 2 4 2" xfId="16418"/>
    <cellStyle name="Normal 6 6 2 4 2 2" xfId="16419"/>
    <cellStyle name="Normal 6 6 2 4 3" xfId="16420"/>
    <cellStyle name="Normal 6 6 2 5" xfId="16421"/>
    <cellStyle name="Normal 6 6 2 5 2" xfId="16422"/>
    <cellStyle name="Normal 6 6 2 6" xfId="16423"/>
    <cellStyle name="Normal 6 6 3" xfId="16424"/>
    <cellStyle name="Normal 6 6 3 2" xfId="16425"/>
    <cellStyle name="Normal 6 6 3 2 2" xfId="16426"/>
    <cellStyle name="Normal 6 6 3 2 2 2" xfId="16427"/>
    <cellStyle name="Normal 6 6 3 2 2 2 2" xfId="16428"/>
    <cellStyle name="Normal 6 6 3 2 2 3" xfId="16429"/>
    <cellStyle name="Normal 6 6 3 2 3" xfId="16430"/>
    <cellStyle name="Normal 6 6 3 2 3 2" xfId="16431"/>
    <cellStyle name="Normal 6 6 3 2 4" xfId="16432"/>
    <cellStyle name="Normal 6 6 3 3" xfId="16433"/>
    <cellStyle name="Normal 6 6 3 3 2" xfId="16434"/>
    <cellStyle name="Normal 6 6 3 3 2 2" xfId="16435"/>
    <cellStyle name="Normal 6 6 3 3 3" xfId="16436"/>
    <cellStyle name="Normal 6 6 3 4" xfId="16437"/>
    <cellStyle name="Normal 6 6 3 4 2" xfId="16438"/>
    <cellStyle name="Normal 6 6 3 5" xfId="16439"/>
    <cellStyle name="Normal 6 6 4" xfId="16440"/>
    <cellStyle name="Normal 6 6 4 2" xfId="16441"/>
    <cellStyle name="Normal 6 6 4 2 2" xfId="16442"/>
    <cellStyle name="Normal 6 6 4 2 2 2" xfId="16443"/>
    <cellStyle name="Normal 6 6 4 2 3" xfId="16444"/>
    <cellStyle name="Normal 6 6 4 3" xfId="16445"/>
    <cellStyle name="Normal 6 6 4 3 2" xfId="16446"/>
    <cellStyle name="Normal 6 6 4 4" xfId="16447"/>
    <cellStyle name="Normal 6 6 5" xfId="16448"/>
    <cellStyle name="Normal 6 6 5 2" xfId="16449"/>
    <cellStyle name="Normal 6 6 5 2 2" xfId="16450"/>
    <cellStyle name="Normal 6 6 5 3" xfId="16451"/>
    <cellStyle name="Normal 6 6 6" xfId="16452"/>
    <cellStyle name="Normal 6 6 6 2" xfId="16453"/>
    <cellStyle name="Normal 6 6 7" xfId="16454"/>
    <cellStyle name="Normal 6 7" xfId="16455"/>
    <cellStyle name="Normal 6 7 2" xfId="16456"/>
    <cellStyle name="Normal 6 7 2 2" xfId="16457"/>
    <cellStyle name="Normal 6 7 2 2 2" xfId="16458"/>
    <cellStyle name="Normal 6 7 2 2 2 2" xfId="16459"/>
    <cellStyle name="Normal 6 7 2 2 2 2 2" xfId="16460"/>
    <cellStyle name="Normal 6 7 2 2 2 3" xfId="16461"/>
    <cellStyle name="Normal 6 7 2 2 3" xfId="16462"/>
    <cellStyle name="Normal 6 7 2 2 3 2" xfId="16463"/>
    <cellStyle name="Normal 6 7 2 2 4" xfId="16464"/>
    <cellStyle name="Normal 6 7 2 3" xfId="16465"/>
    <cellStyle name="Normal 6 7 2 3 2" xfId="16466"/>
    <cellStyle name="Normal 6 7 2 3 2 2" xfId="16467"/>
    <cellStyle name="Normal 6 7 2 3 3" xfId="16468"/>
    <cellStyle name="Normal 6 7 2 4" xfId="16469"/>
    <cellStyle name="Normal 6 7 2 4 2" xfId="16470"/>
    <cellStyle name="Normal 6 7 2 5" xfId="16471"/>
    <cellStyle name="Normal 6 7 3" xfId="16472"/>
    <cellStyle name="Normal 6 7 3 2" xfId="16473"/>
    <cellStyle name="Normal 6 7 3 2 2" xfId="16474"/>
    <cellStyle name="Normal 6 7 3 2 2 2" xfId="16475"/>
    <cellStyle name="Normal 6 7 3 2 3" xfId="16476"/>
    <cellStyle name="Normal 6 7 3 3" xfId="16477"/>
    <cellStyle name="Normal 6 7 3 3 2" xfId="16478"/>
    <cellStyle name="Normal 6 7 3 4" xfId="16479"/>
    <cellStyle name="Normal 6 7 4" xfId="16480"/>
    <cellStyle name="Normal 6 7 4 2" xfId="16481"/>
    <cellStyle name="Normal 6 7 4 2 2" xfId="16482"/>
    <cellStyle name="Normal 6 7 4 3" xfId="16483"/>
    <cellStyle name="Normal 6 7 5" xfId="16484"/>
    <cellStyle name="Normal 6 7 5 2" xfId="16485"/>
    <cellStyle name="Normal 6 7 6" xfId="16486"/>
    <cellStyle name="Normal 6 8" xfId="16487"/>
    <cellStyle name="Normal 6 8 2" xfId="16488"/>
    <cellStyle name="Normal 6 8 2 2" xfId="16489"/>
    <cellStyle name="Normal 6 8 2 2 2" xfId="16490"/>
    <cellStyle name="Normal 6 8 2 2 2 2" xfId="16491"/>
    <cellStyle name="Normal 6 8 2 2 3" xfId="16492"/>
    <cellStyle name="Normal 6 8 2 3" xfId="16493"/>
    <cellStyle name="Normal 6 8 2 3 2" xfId="16494"/>
    <cellStyle name="Normal 6 8 2 4" xfId="16495"/>
    <cellStyle name="Normal 6 8 3" xfId="16496"/>
    <cellStyle name="Normal 6 8 3 2" xfId="16497"/>
    <cellStyle name="Normal 6 8 3 2 2" xfId="16498"/>
    <cellStyle name="Normal 6 8 3 3" xfId="16499"/>
    <cellStyle name="Normal 6 8 4" xfId="16500"/>
    <cellStyle name="Normal 6 8 4 2" xfId="16501"/>
    <cellStyle name="Normal 6 8 5" xfId="16502"/>
    <cellStyle name="Normal 6 9" xfId="16503"/>
    <cellStyle name="Normal 6 9 2" xfId="16504"/>
    <cellStyle name="Normal 6 9 2 2" xfId="16505"/>
    <cellStyle name="Normal 6 9 2 2 2" xfId="16506"/>
    <cellStyle name="Normal 6 9 2 3" xfId="16507"/>
    <cellStyle name="Normal 6 9 3" xfId="16508"/>
    <cellStyle name="Normal 6 9 3 2" xfId="16509"/>
    <cellStyle name="Normal 6 9 4" xfId="16510"/>
    <cellStyle name="Normal 7" xfId="6"/>
    <cellStyle name="Normal 7 2" xfId="16512"/>
    <cellStyle name="Normal 7 2 2" xfId="18796"/>
    <cellStyle name="Normal 7 2 3" xfId="18695"/>
    <cellStyle name="Normal 7 3" xfId="16513"/>
    <cellStyle name="Normal 7 3 2" xfId="18778"/>
    <cellStyle name="Normal 7 4" xfId="16514"/>
    <cellStyle name="Normal 7 5" xfId="16515"/>
    <cellStyle name="Normal 7 6" xfId="16516"/>
    <cellStyle name="Normal 7 7" xfId="16511"/>
    <cellStyle name="Normal 7 8" xfId="18675"/>
    <cellStyle name="Normal 8" xfId="16517"/>
    <cellStyle name="Normal 8 2" xfId="16518"/>
    <cellStyle name="Normal 8 2 2" xfId="18797"/>
    <cellStyle name="Normal 8 2 3" xfId="18699"/>
    <cellStyle name="Normal 8 3" xfId="16519"/>
    <cellStyle name="Normal 8 3 2" xfId="18779"/>
    <cellStyle name="Normal 8 4" xfId="16520"/>
    <cellStyle name="Normal 8 5" xfId="16521"/>
    <cellStyle name="Normal 8 6" xfId="16522"/>
    <cellStyle name="Normal 8 7" xfId="18676"/>
    <cellStyle name="Normal 9" xfId="16523"/>
    <cellStyle name="Normal 9 2" xfId="16524"/>
    <cellStyle name="Normal 9 2 2" xfId="18799"/>
    <cellStyle name="Normal 9 3" xfId="16525"/>
    <cellStyle name="Normal 9 3 2" xfId="18781"/>
    <cellStyle name="Normal 9 4" xfId="16526"/>
    <cellStyle name="Normal 9 5" xfId="16527"/>
    <cellStyle name="Normal 9 6" xfId="18701"/>
    <cellStyle name="Note 10" xfId="16528"/>
    <cellStyle name="Note 10 2" xfId="16529"/>
    <cellStyle name="Note 10 2 2" xfId="16530"/>
    <cellStyle name="Note 10 2 3" xfId="22599"/>
    <cellStyle name="Note 10 3" xfId="16531"/>
    <cellStyle name="Note 10 4" xfId="20012"/>
    <cellStyle name="Note 11" xfId="16532"/>
    <cellStyle name="Note 11 2" xfId="16533"/>
    <cellStyle name="Note 11 3" xfId="21306"/>
    <cellStyle name="Note 12" xfId="16534"/>
    <cellStyle name="Note 13" xfId="16535"/>
    <cellStyle name="Note 14" xfId="16536"/>
    <cellStyle name="Note 15" xfId="18608"/>
    <cellStyle name="Note 2" xfId="16537"/>
    <cellStyle name="Note 2 10" xfId="16538"/>
    <cellStyle name="Note 2 10 2" xfId="16539"/>
    <cellStyle name="Note 2 10 3" xfId="21319"/>
    <cellStyle name="Note 2 11" xfId="16540"/>
    <cellStyle name="Note 2 12" xfId="18667"/>
    <cellStyle name="Note 2 2" xfId="16541"/>
    <cellStyle name="Note 2 2 10" xfId="16542"/>
    <cellStyle name="Note 2 2 11" xfId="18707"/>
    <cellStyle name="Note 2 2 2" xfId="16543"/>
    <cellStyle name="Note 2 2 2 10" xfId="18731"/>
    <cellStyle name="Note 2 2 2 2" xfId="16544"/>
    <cellStyle name="Note 2 2 2 2 2" xfId="16545"/>
    <cellStyle name="Note 2 2 2 2 2 2" xfId="16546"/>
    <cellStyle name="Note 2 2 2 2 2 2 2" xfId="16547"/>
    <cellStyle name="Note 2 2 2 2 2 2 2 2" xfId="16548"/>
    <cellStyle name="Note 2 2 2 2 2 2 2 2 2" xfId="16549"/>
    <cellStyle name="Note 2 2 2 2 2 2 2 2 2 2" xfId="16550"/>
    <cellStyle name="Note 2 2 2 2 2 2 2 2 2 2 2" xfId="16551"/>
    <cellStyle name="Note 2 2 2 2 2 2 2 2 2 2 3" xfId="23888"/>
    <cellStyle name="Note 2 2 2 2 2 2 2 2 2 3" xfId="16552"/>
    <cellStyle name="Note 2 2 2 2 2 2 2 2 2 4" xfId="21305"/>
    <cellStyle name="Note 2 2 2 2 2 2 2 2 3" xfId="16553"/>
    <cellStyle name="Note 2 2 2 2 2 2 2 2 3 2" xfId="16554"/>
    <cellStyle name="Note 2 2 2 2 2 2 2 2 3 3" xfId="22598"/>
    <cellStyle name="Note 2 2 2 2 2 2 2 2 4" xfId="16555"/>
    <cellStyle name="Note 2 2 2 2 2 2 2 2 5" xfId="20011"/>
    <cellStyle name="Note 2 2 2 2 2 2 2 3" xfId="16556"/>
    <cellStyle name="Note 2 2 2 2 2 2 2 3 2" xfId="16557"/>
    <cellStyle name="Note 2 2 2 2 2 2 2 3 2 2" xfId="16558"/>
    <cellStyle name="Note 2 2 2 2 2 2 2 3 2 3" xfId="23243"/>
    <cellStyle name="Note 2 2 2 2 2 2 2 3 3" xfId="16559"/>
    <cellStyle name="Note 2 2 2 2 2 2 2 3 4" xfId="20660"/>
    <cellStyle name="Note 2 2 2 2 2 2 2 4" xfId="16560"/>
    <cellStyle name="Note 2 2 2 2 2 2 2 4 2" xfId="16561"/>
    <cellStyle name="Note 2 2 2 2 2 2 2 4 3" xfId="21953"/>
    <cellStyle name="Note 2 2 2 2 2 2 2 5" xfId="16562"/>
    <cellStyle name="Note 2 2 2 2 2 2 2 6" xfId="19363"/>
    <cellStyle name="Note 2 2 2 2 2 2 3" xfId="16563"/>
    <cellStyle name="Note 2 2 2 2 2 2 3 2" xfId="16564"/>
    <cellStyle name="Note 2 2 2 2 2 2 3 2 2" xfId="16565"/>
    <cellStyle name="Note 2 2 2 2 2 2 3 2 2 2" xfId="16566"/>
    <cellStyle name="Note 2 2 2 2 2 2 3 2 2 3" xfId="23566"/>
    <cellStyle name="Note 2 2 2 2 2 2 3 2 3" xfId="16567"/>
    <cellStyle name="Note 2 2 2 2 2 2 3 2 4" xfId="20983"/>
    <cellStyle name="Note 2 2 2 2 2 2 3 3" xfId="16568"/>
    <cellStyle name="Note 2 2 2 2 2 2 3 3 2" xfId="16569"/>
    <cellStyle name="Note 2 2 2 2 2 2 3 3 3" xfId="22276"/>
    <cellStyle name="Note 2 2 2 2 2 2 3 4" xfId="16570"/>
    <cellStyle name="Note 2 2 2 2 2 2 3 5" xfId="19689"/>
    <cellStyle name="Note 2 2 2 2 2 2 4" xfId="16571"/>
    <cellStyle name="Note 2 2 2 2 2 2 4 2" xfId="16572"/>
    <cellStyle name="Note 2 2 2 2 2 2 4 2 2" xfId="16573"/>
    <cellStyle name="Note 2 2 2 2 2 2 4 2 3" xfId="22921"/>
    <cellStyle name="Note 2 2 2 2 2 2 4 3" xfId="16574"/>
    <cellStyle name="Note 2 2 2 2 2 2 4 4" xfId="20338"/>
    <cellStyle name="Note 2 2 2 2 2 2 5" xfId="16575"/>
    <cellStyle name="Note 2 2 2 2 2 2 5 2" xfId="16576"/>
    <cellStyle name="Note 2 2 2 2 2 2 5 3" xfId="21631"/>
    <cellStyle name="Note 2 2 2 2 2 2 6" xfId="16577"/>
    <cellStyle name="Note 2 2 2 2 2 2 7" xfId="19037"/>
    <cellStyle name="Note 2 2 2 2 2 3" xfId="16578"/>
    <cellStyle name="Note 2 2 2 2 2 3 2" xfId="16579"/>
    <cellStyle name="Note 2 2 2 2 2 3 2 2" xfId="16580"/>
    <cellStyle name="Note 2 2 2 2 2 3 2 2 2" xfId="16581"/>
    <cellStyle name="Note 2 2 2 2 2 3 2 2 2 2" xfId="16582"/>
    <cellStyle name="Note 2 2 2 2 2 3 2 2 2 3" xfId="23727"/>
    <cellStyle name="Note 2 2 2 2 2 3 2 2 3" xfId="16583"/>
    <cellStyle name="Note 2 2 2 2 2 3 2 2 4" xfId="21144"/>
    <cellStyle name="Note 2 2 2 2 2 3 2 3" xfId="16584"/>
    <cellStyle name="Note 2 2 2 2 2 3 2 3 2" xfId="16585"/>
    <cellStyle name="Note 2 2 2 2 2 3 2 3 3" xfId="22437"/>
    <cellStyle name="Note 2 2 2 2 2 3 2 4" xfId="16586"/>
    <cellStyle name="Note 2 2 2 2 2 3 2 5" xfId="19850"/>
    <cellStyle name="Note 2 2 2 2 2 3 3" xfId="16587"/>
    <cellStyle name="Note 2 2 2 2 2 3 3 2" xfId="16588"/>
    <cellStyle name="Note 2 2 2 2 2 3 3 2 2" xfId="16589"/>
    <cellStyle name="Note 2 2 2 2 2 3 3 2 3" xfId="23082"/>
    <cellStyle name="Note 2 2 2 2 2 3 3 3" xfId="16590"/>
    <cellStyle name="Note 2 2 2 2 2 3 3 4" xfId="20499"/>
    <cellStyle name="Note 2 2 2 2 2 3 4" xfId="16591"/>
    <cellStyle name="Note 2 2 2 2 2 3 4 2" xfId="16592"/>
    <cellStyle name="Note 2 2 2 2 2 3 4 3" xfId="21792"/>
    <cellStyle name="Note 2 2 2 2 2 3 5" xfId="16593"/>
    <cellStyle name="Note 2 2 2 2 2 3 6" xfId="19202"/>
    <cellStyle name="Note 2 2 2 2 2 4" xfId="16594"/>
    <cellStyle name="Note 2 2 2 2 2 4 2" xfId="16595"/>
    <cellStyle name="Note 2 2 2 2 2 4 2 2" xfId="16596"/>
    <cellStyle name="Note 2 2 2 2 2 4 2 2 2" xfId="16597"/>
    <cellStyle name="Note 2 2 2 2 2 4 2 2 3" xfId="23405"/>
    <cellStyle name="Note 2 2 2 2 2 4 2 3" xfId="16598"/>
    <cellStyle name="Note 2 2 2 2 2 4 2 4" xfId="20822"/>
    <cellStyle name="Note 2 2 2 2 2 4 3" xfId="16599"/>
    <cellStyle name="Note 2 2 2 2 2 4 3 2" xfId="16600"/>
    <cellStyle name="Note 2 2 2 2 2 4 3 3" xfId="22115"/>
    <cellStyle name="Note 2 2 2 2 2 4 4" xfId="16601"/>
    <cellStyle name="Note 2 2 2 2 2 4 5" xfId="19528"/>
    <cellStyle name="Note 2 2 2 2 2 5" xfId="16602"/>
    <cellStyle name="Note 2 2 2 2 2 5 2" xfId="16603"/>
    <cellStyle name="Note 2 2 2 2 2 5 2 2" xfId="16604"/>
    <cellStyle name="Note 2 2 2 2 2 5 2 3" xfId="22760"/>
    <cellStyle name="Note 2 2 2 2 2 5 3" xfId="16605"/>
    <cellStyle name="Note 2 2 2 2 2 5 4" xfId="20177"/>
    <cellStyle name="Note 2 2 2 2 2 6" xfId="16606"/>
    <cellStyle name="Note 2 2 2 2 2 6 2" xfId="16607"/>
    <cellStyle name="Note 2 2 2 2 2 6 3" xfId="21470"/>
    <cellStyle name="Note 2 2 2 2 2 7" xfId="16608"/>
    <cellStyle name="Note 2 2 2 2 2 8" xfId="18872"/>
    <cellStyle name="Note 2 2 2 2 3" xfId="16609"/>
    <cellStyle name="Note 2 2 2 2 3 2" xfId="16610"/>
    <cellStyle name="Note 2 2 2 2 3 2 2" xfId="16611"/>
    <cellStyle name="Note 2 2 2 2 3 2 2 2" xfId="16612"/>
    <cellStyle name="Note 2 2 2 2 3 2 2 2 2" xfId="16613"/>
    <cellStyle name="Note 2 2 2 2 3 2 2 2 2 2" xfId="16614"/>
    <cellStyle name="Note 2 2 2 2 3 2 2 2 2 3" xfId="23808"/>
    <cellStyle name="Note 2 2 2 2 3 2 2 2 3" xfId="16615"/>
    <cellStyle name="Note 2 2 2 2 3 2 2 2 4" xfId="21225"/>
    <cellStyle name="Note 2 2 2 2 3 2 2 3" xfId="16616"/>
    <cellStyle name="Note 2 2 2 2 3 2 2 3 2" xfId="16617"/>
    <cellStyle name="Note 2 2 2 2 3 2 2 3 3" xfId="22518"/>
    <cellStyle name="Note 2 2 2 2 3 2 2 4" xfId="16618"/>
    <cellStyle name="Note 2 2 2 2 3 2 2 5" xfId="19931"/>
    <cellStyle name="Note 2 2 2 2 3 2 3" xfId="16619"/>
    <cellStyle name="Note 2 2 2 2 3 2 3 2" xfId="16620"/>
    <cellStyle name="Note 2 2 2 2 3 2 3 2 2" xfId="16621"/>
    <cellStyle name="Note 2 2 2 2 3 2 3 2 3" xfId="23163"/>
    <cellStyle name="Note 2 2 2 2 3 2 3 3" xfId="16622"/>
    <cellStyle name="Note 2 2 2 2 3 2 3 4" xfId="20580"/>
    <cellStyle name="Note 2 2 2 2 3 2 4" xfId="16623"/>
    <cellStyle name="Note 2 2 2 2 3 2 4 2" xfId="16624"/>
    <cellStyle name="Note 2 2 2 2 3 2 4 3" xfId="21873"/>
    <cellStyle name="Note 2 2 2 2 3 2 5" xfId="16625"/>
    <cellStyle name="Note 2 2 2 2 3 2 6" xfId="19283"/>
    <cellStyle name="Note 2 2 2 2 3 3" xfId="16626"/>
    <cellStyle name="Note 2 2 2 2 3 3 2" xfId="16627"/>
    <cellStyle name="Note 2 2 2 2 3 3 2 2" xfId="16628"/>
    <cellStyle name="Note 2 2 2 2 3 3 2 2 2" xfId="16629"/>
    <cellStyle name="Note 2 2 2 2 3 3 2 2 3" xfId="23486"/>
    <cellStyle name="Note 2 2 2 2 3 3 2 3" xfId="16630"/>
    <cellStyle name="Note 2 2 2 2 3 3 2 4" xfId="20903"/>
    <cellStyle name="Note 2 2 2 2 3 3 3" xfId="16631"/>
    <cellStyle name="Note 2 2 2 2 3 3 3 2" xfId="16632"/>
    <cellStyle name="Note 2 2 2 2 3 3 3 3" xfId="22196"/>
    <cellStyle name="Note 2 2 2 2 3 3 4" xfId="16633"/>
    <cellStyle name="Note 2 2 2 2 3 3 5" xfId="19609"/>
    <cellStyle name="Note 2 2 2 2 3 4" xfId="16634"/>
    <cellStyle name="Note 2 2 2 2 3 4 2" xfId="16635"/>
    <cellStyle name="Note 2 2 2 2 3 4 2 2" xfId="16636"/>
    <cellStyle name="Note 2 2 2 2 3 4 2 3" xfId="22841"/>
    <cellStyle name="Note 2 2 2 2 3 4 3" xfId="16637"/>
    <cellStyle name="Note 2 2 2 2 3 4 4" xfId="20258"/>
    <cellStyle name="Note 2 2 2 2 3 5" xfId="16638"/>
    <cellStyle name="Note 2 2 2 2 3 5 2" xfId="16639"/>
    <cellStyle name="Note 2 2 2 2 3 5 3" xfId="21551"/>
    <cellStyle name="Note 2 2 2 2 3 6" xfId="16640"/>
    <cellStyle name="Note 2 2 2 2 3 7" xfId="18957"/>
    <cellStyle name="Note 2 2 2 2 4" xfId="16641"/>
    <cellStyle name="Note 2 2 2 2 4 2" xfId="16642"/>
    <cellStyle name="Note 2 2 2 2 4 2 2" xfId="16643"/>
    <cellStyle name="Note 2 2 2 2 4 2 2 2" xfId="16644"/>
    <cellStyle name="Note 2 2 2 2 4 2 2 2 2" xfId="16645"/>
    <cellStyle name="Note 2 2 2 2 4 2 2 2 3" xfId="23647"/>
    <cellStyle name="Note 2 2 2 2 4 2 2 3" xfId="16646"/>
    <cellStyle name="Note 2 2 2 2 4 2 2 4" xfId="21064"/>
    <cellStyle name="Note 2 2 2 2 4 2 3" xfId="16647"/>
    <cellStyle name="Note 2 2 2 2 4 2 3 2" xfId="16648"/>
    <cellStyle name="Note 2 2 2 2 4 2 3 3" xfId="22357"/>
    <cellStyle name="Note 2 2 2 2 4 2 4" xfId="16649"/>
    <cellStyle name="Note 2 2 2 2 4 2 5" xfId="19770"/>
    <cellStyle name="Note 2 2 2 2 4 3" xfId="16650"/>
    <cellStyle name="Note 2 2 2 2 4 3 2" xfId="16651"/>
    <cellStyle name="Note 2 2 2 2 4 3 2 2" xfId="16652"/>
    <cellStyle name="Note 2 2 2 2 4 3 2 3" xfId="23002"/>
    <cellStyle name="Note 2 2 2 2 4 3 3" xfId="16653"/>
    <cellStyle name="Note 2 2 2 2 4 3 4" xfId="20419"/>
    <cellStyle name="Note 2 2 2 2 4 4" xfId="16654"/>
    <cellStyle name="Note 2 2 2 2 4 4 2" xfId="16655"/>
    <cellStyle name="Note 2 2 2 2 4 4 3" xfId="21712"/>
    <cellStyle name="Note 2 2 2 2 4 5" xfId="16656"/>
    <cellStyle name="Note 2 2 2 2 4 6" xfId="19122"/>
    <cellStyle name="Note 2 2 2 2 5" xfId="16657"/>
    <cellStyle name="Note 2 2 2 2 5 2" xfId="16658"/>
    <cellStyle name="Note 2 2 2 2 5 2 2" xfId="16659"/>
    <cellStyle name="Note 2 2 2 2 5 2 2 2" xfId="16660"/>
    <cellStyle name="Note 2 2 2 2 5 2 2 3" xfId="23324"/>
    <cellStyle name="Note 2 2 2 2 5 2 3" xfId="16661"/>
    <cellStyle name="Note 2 2 2 2 5 2 4" xfId="20741"/>
    <cellStyle name="Note 2 2 2 2 5 3" xfId="16662"/>
    <cellStyle name="Note 2 2 2 2 5 3 2" xfId="16663"/>
    <cellStyle name="Note 2 2 2 2 5 3 3" xfId="22034"/>
    <cellStyle name="Note 2 2 2 2 5 4" xfId="16664"/>
    <cellStyle name="Note 2 2 2 2 5 5" xfId="19448"/>
    <cellStyle name="Note 2 2 2 2 6" xfId="16665"/>
    <cellStyle name="Note 2 2 2 2 6 2" xfId="16666"/>
    <cellStyle name="Note 2 2 2 2 6 2 2" xfId="16667"/>
    <cellStyle name="Note 2 2 2 2 6 2 3" xfId="22679"/>
    <cellStyle name="Note 2 2 2 2 6 3" xfId="16668"/>
    <cellStyle name="Note 2 2 2 2 6 4" xfId="20096"/>
    <cellStyle name="Note 2 2 2 2 7" xfId="16669"/>
    <cellStyle name="Note 2 2 2 2 7 2" xfId="16670"/>
    <cellStyle name="Note 2 2 2 2 7 3" xfId="21389"/>
    <cellStyle name="Note 2 2 2 2 8" xfId="16671"/>
    <cellStyle name="Note 2 2 2 2 9" xfId="18775"/>
    <cellStyle name="Note 2 2 2 3" xfId="16672"/>
    <cellStyle name="Note 2 2 2 3 2" xfId="16673"/>
    <cellStyle name="Note 2 2 2 3 2 2" xfId="16674"/>
    <cellStyle name="Note 2 2 2 3 2 2 2" xfId="16675"/>
    <cellStyle name="Note 2 2 2 3 2 2 2 2" xfId="16676"/>
    <cellStyle name="Note 2 2 2 3 2 2 2 2 2" xfId="16677"/>
    <cellStyle name="Note 2 2 2 3 2 2 2 2 2 2" xfId="16678"/>
    <cellStyle name="Note 2 2 2 3 2 2 2 2 2 3" xfId="23848"/>
    <cellStyle name="Note 2 2 2 3 2 2 2 2 3" xfId="16679"/>
    <cellStyle name="Note 2 2 2 3 2 2 2 2 4" xfId="21265"/>
    <cellStyle name="Note 2 2 2 3 2 2 2 3" xfId="16680"/>
    <cellStyle name="Note 2 2 2 3 2 2 2 3 2" xfId="16681"/>
    <cellStyle name="Note 2 2 2 3 2 2 2 3 3" xfId="22558"/>
    <cellStyle name="Note 2 2 2 3 2 2 2 4" xfId="16682"/>
    <cellStyle name="Note 2 2 2 3 2 2 2 5" xfId="19971"/>
    <cellStyle name="Note 2 2 2 3 2 2 3" xfId="16683"/>
    <cellStyle name="Note 2 2 2 3 2 2 3 2" xfId="16684"/>
    <cellStyle name="Note 2 2 2 3 2 2 3 2 2" xfId="16685"/>
    <cellStyle name="Note 2 2 2 3 2 2 3 2 3" xfId="23203"/>
    <cellStyle name="Note 2 2 2 3 2 2 3 3" xfId="16686"/>
    <cellStyle name="Note 2 2 2 3 2 2 3 4" xfId="20620"/>
    <cellStyle name="Note 2 2 2 3 2 2 4" xfId="16687"/>
    <cellStyle name="Note 2 2 2 3 2 2 4 2" xfId="16688"/>
    <cellStyle name="Note 2 2 2 3 2 2 4 3" xfId="21913"/>
    <cellStyle name="Note 2 2 2 3 2 2 5" xfId="16689"/>
    <cellStyle name="Note 2 2 2 3 2 2 6" xfId="19323"/>
    <cellStyle name="Note 2 2 2 3 2 3" xfId="16690"/>
    <cellStyle name="Note 2 2 2 3 2 3 2" xfId="16691"/>
    <cellStyle name="Note 2 2 2 3 2 3 2 2" xfId="16692"/>
    <cellStyle name="Note 2 2 2 3 2 3 2 2 2" xfId="16693"/>
    <cellStyle name="Note 2 2 2 3 2 3 2 2 3" xfId="23526"/>
    <cellStyle name="Note 2 2 2 3 2 3 2 3" xfId="16694"/>
    <cellStyle name="Note 2 2 2 3 2 3 2 4" xfId="20943"/>
    <cellStyle name="Note 2 2 2 3 2 3 3" xfId="16695"/>
    <cellStyle name="Note 2 2 2 3 2 3 3 2" xfId="16696"/>
    <cellStyle name="Note 2 2 2 3 2 3 3 3" xfId="22236"/>
    <cellStyle name="Note 2 2 2 3 2 3 4" xfId="16697"/>
    <cellStyle name="Note 2 2 2 3 2 3 5" xfId="19649"/>
    <cellStyle name="Note 2 2 2 3 2 4" xfId="16698"/>
    <cellStyle name="Note 2 2 2 3 2 4 2" xfId="16699"/>
    <cellStyle name="Note 2 2 2 3 2 4 2 2" xfId="16700"/>
    <cellStyle name="Note 2 2 2 3 2 4 2 3" xfId="22881"/>
    <cellStyle name="Note 2 2 2 3 2 4 3" xfId="16701"/>
    <cellStyle name="Note 2 2 2 3 2 4 4" xfId="20298"/>
    <cellStyle name="Note 2 2 2 3 2 5" xfId="16702"/>
    <cellStyle name="Note 2 2 2 3 2 5 2" xfId="16703"/>
    <cellStyle name="Note 2 2 2 3 2 5 3" xfId="21591"/>
    <cellStyle name="Note 2 2 2 3 2 6" xfId="16704"/>
    <cellStyle name="Note 2 2 2 3 2 7" xfId="18997"/>
    <cellStyle name="Note 2 2 2 3 3" xfId="16705"/>
    <cellStyle name="Note 2 2 2 3 3 2" xfId="16706"/>
    <cellStyle name="Note 2 2 2 3 3 2 2" xfId="16707"/>
    <cellStyle name="Note 2 2 2 3 3 2 2 2" xfId="16708"/>
    <cellStyle name="Note 2 2 2 3 3 2 2 2 2" xfId="16709"/>
    <cellStyle name="Note 2 2 2 3 3 2 2 2 3" xfId="23687"/>
    <cellStyle name="Note 2 2 2 3 3 2 2 3" xfId="16710"/>
    <cellStyle name="Note 2 2 2 3 3 2 2 4" xfId="21104"/>
    <cellStyle name="Note 2 2 2 3 3 2 3" xfId="16711"/>
    <cellStyle name="Note 2 2 2 3 3 2 3 2" xfId="16712"/>
    <cellStyle name="Note 2 2 2 3 3 2 3 3" xfId="22397"/>
    <cellStyle name="Note 2 2 2 3 3 2 4" xfId="16713"/>
    <cellStyle name="Note 2 2 2 3 3 2 5" xfId="19810"/>
    <cellStyle name="Note 2 2 2 3 3 3" xfId="16714"/>
    <cellStyle name="Note 2 2 2 3 3 3 2" xfId="16715"/>
    <cellStyle name="Note 2 2 2 3 3 3 2 2" xfId="16716"/>
    <cellStyle name="Note 2 2 2 3 3 3 2 3" xfId="23042"/>
    <cellStyle name="Note 2 2 2 3 3 3 3" xfId="16717"/>
    <cellStyle name="Note 2 2 2 3 3 3 4" xfId="20459"/>
    <cellStyle name="Note 2 2 2 3 3 4" xfId="16718"/>
    <cellStyle name="Note 2 2 2 3 3 4 2" xfId="16719"/>
    <cellStyle name="Note 2 2 2 3 3 4 3" xfId="21752"/>
    <cellStyle name="Note 2 2 2 3 3 5" xfId="16720"/>
    <cellStyle name="Note 2 2 2 3 3 6" xfId="19162"/>
    <cellStyle name="Note 2 2 2 3 4" xfId="16721"/>
    <cellStyle name="Note 2 2 2 3 4 2" xfId="16722"/>
    <cellStyle name="Note 2 2 2 3 4 2 2" xfId="16723"/>
    <cellStyle name="Note 2 2 2 3 4 2 2 2" xfId="16724"/>
    <cellStyle name="Note 2 2 2 3 4 2 2 3" xfId="23365"/>
    <cellStyle name="Note 2 2 2 3 4 2 3" xfId="16725"/>
    <cellStyle name="Note 2 2 2 3 4 2 4" xfId="20782"/>
    <cellStyle name="Note 2 2 2 3 4 3" xfId="16726"/>
    <cellStyle name="Note 2 2 2 3 4 3 2" xfId="16727"/>
    <cellStyle name="Note 2 2 2 3 4 3 3" xfId="22075"/>
    <cellStyle name="Note 2 2 2 3 4 4" xfId="16728"/>
    <cellStyle name="Note 2 2 2 3 4 5" xfId="19488"/>
    <cellStyle name="Note 2 2 2 3 5" xfId="16729"/>
    <cellStyle name="Note 2 2 2 3 5 2" xfId="16730"/>
    <cellStyle name="Note 2 2 2 3 5 2 2" xfId="16731"/>
    <cellStyle name="Note 2 2 2 3 5 2 3" xfId="22720"/>
    <cellStyle name="Note 2 2 2 3 5 3" xfId="16732"/>
    <cellStyle name="Note 2 2 2 3 5 4" xfId="20137"/>
    <cellStyle name="Note 2 2 2 3 6" xfId="16733"/>
    <cellStyle name="Note 2 2 2 3 6 2" xfId="16734"/>
    <cellStyle name="Note 2 2 2 3 6 3" xfId="21430"/>
    <cellStyle name="Note 2 2 2 3 7" xfId="16735"/>
    <cellStyle name="Note 2 2 2 3 8" xfId="18831"/>
    <cellStyle name="Note 2 2 2 4" xfId="16736"/>
    <cellStyle name="Note 2 2 2 4 2" xfId="16737"/>
    <cellStyle name="Note 2 2 2 4 2 2" xfId="16738"/>
    <cellStyle name="Note 2 2 2 4 2 2 2" xfId="16739"/>
    <cellStyle name="Note 2 2 2 4 2 2 2 2" xfId="16740"/>
    <cellStyle name="Note 2 2 2 4 2 2 2 2 2" xfId="16741"/>
    <cellStyle name="Note 2 2 2 4 2 2 2 2 3" xfId="23768"/>
    <cellStyle name="Note 2 2 2 4 2 2 2 3" xfId="16742"/>
    <cellStyle name="Note 2 2 2 4 2 2 2 4" xfId="21185"/>
    <cellStyle name="Note 2 2 2 4 2 2 3" xfId="16743"/>
    <cellStyle name="Note 2 2 2 4 2 2 3 2" xfId="16744"/>
    <cellStyle name="Note 2 2 2 4 2 2 3 3" xfId="22478"/>
    <cellStyle name="Note 2 2 2 4 2 2 4" xfId="16745"/>
    <cellStyle name="Note 2 2 2 4 2 2 5" xfId="19891"/>
    <cellStyle name="Note 2 2 2 4 2 3" xfId="16746"/>
    <cellStyle name="Note 2 2 2 4 2 3 2" xfId="16747"/>
    <cellStyle name="Note 2 2 2 4 2 3 2 2" xfId="16748"/>
    <cellStyle name="Note 2 2 2 4 2 3 2 3" xfId="23123"/>
    <cellStyle name="Note 2 2 2 4 2 3 3" xfId="16749"/>
    <cellStyle name="Note 2 2 2 4 2 3 4" xfId="20540"/>
    <cellStyle name="Note 2 2 2 4 2 4" xfId="16750"/>
    <cellStyle name="Note 2 2 2 4 2 4 2" xfId="16751"/>
    <cellStyle name="Note 2 2 2 4 2 4 3" xfId="21833"/>
    <cellStyle name="Note 2 2 2 4 2 5" xfId="16752"/>
    <cellStyle name="Note 2 2 2 4 2 6" xfId="19243"/>
    <cellStyle name="Note 2 2 2 4 3" xfId="16753"/>
    <cellStyle name="Note 2 2 2 4 3 2" xfId="16754"/>
    <cellStyle name="Note 2 2 2 4 3 2 2" xfId="16755"/>
    <cellStyle name="Note 2 2 2 4 3 2 2 2" xfId="16756"/>
    <cellStyle name="Note 2 2 2 4 3 2 2 3" xfId="23446"/>
    <cellStyle name="Note 2 2 2 4 3 2 3" xfId="16757"/>
    <cellStyle name="Note 2 2 2 4 3 2 4" xfId="20863"/>
    <cellStyle name="Note 2 2 2 4 3 3" xfId="16758"/>
    <cellStyle name="Note 2 2 2 4 3 3 2" xfId="16759"/>
    <cellStyle name="Note 2 2 2 4 3 3 3" xfId="22156"/>
    <cellStyle name="Note 2 2 2 4 3 4" xfId="16760"/>
    <cellStyle name="Note 2 2 2 4 3 5" xfId="19569"/>
    <cellStyle name="Note 2 2 2 4 4" xfId="16761"/>
    <cellStyle name="Note 2 2 2 4 4 2" xfId="16762"/>
    <cellStyle name="Note 2 2 2 4 4 2 2" xfId="16763"/>
    <cellStyle name="Note 2 2 2 4 4 2 3" xfId="22801"/>
    <cellStyle name="Note 2 2 2 4 4 3" xfId="16764"/>
    <cellStyle name="Note 2 2 2 4 4 4" xfId="20218"/>
    <cellStyle name="Note 2 2 2 4 5" xfId="16765"/>
    <cellStyle name="Note 2 2 2 4 5 2" xfId="16766"/>
    <cellStyle name="Note 2 2 2 4 5 3" xfId="21511"/>
    <cellStyle name="Note 2 2 2 4 6" xfId="16767"/>
    <cellStyle name="Note 2 2 2 4 7" xfId="18917"/>
    <cellStyle name="Note 2 2 2 5" xfId="16768"/>
    <cellStyle name="Note 2 2 2 5 2" xfId="16769"/>
    <cellStyle name="Note 2 2 2 5 2 2" xfId="16770"/>
    <cellStyle name="Note 2 2 2 5 2 2 2" xfId="16771"/>
    <cellStyle name="Note 2 2 2 5 2 2 2 2" xfId="16772"/>
    <cellStyle name="Note 2 2 2 5 2 2 2 3" xfId="23607"/>
    <cellStyle name="Note 2 2 2 5 2 2 3" xfId="16773"/>
    <cellStyle name="Note 2 2 2 5 2 2 4" xfId="21024"/>
    <cellStyle name="Note 2 2 2 5 2 3" xfId="16774"/>
    <cellStyle name="Note 2 2 2 5 2 3 2" xfId="16775"/>
    <cellStyle name="Note 2 2 2 5 2 3 3" xfId="22317"/>
    <cellStyle name="Note 2 2 2 5 2 4" xfId="16776"/>
    <cellStyle name="Note 2 2 2 5 2 5" xfId="19730"/>
    <cellStyle name="Note 2 2 2 5 3" xfId="16777"/>
    <cellStyle name="Note 2 2 2 5 3 2" xfId="16778"/>
    <cellStyle name="Note 2 2 2 5 3 2 2" xfId="16779"/>
    <cellStyle name="Note 2 2 2 5 3 2 3" xfId="22962"/>
    <cellStyle name="Note 2 2 2 5 3 3" xfId="16780"/>
    <cellStyle name="Note 2 2 2 5 3 4" xfId="20379"/>
    <cellStyle name="Note 2 2 2 5 4" xfId="16781"/>
    <cellStyle name="Note 2 2 2 5 4 2" xfId="16782"/>
    <cellStyle name="Note 2 2 2 5 4 3" xfId="21672"/>
    <cellStyle name="Note 2 2 2 5 5" xfId="16783"/>
    <cellStyle name="Note 2 2 2 5 6" xfId="19082"/>
    <cellStyle name="Note 2 2 2 6" xfId="16784"/>
    <cellStyle name="Note 2 2 2 6 2" xfId="16785"/>
    <cellStyle name="Note 2 2 2 6 2 2" xfId="16786"/>
    <cellStyle name="Note 2 2 2 6 2 2 2" xfId="16787"/>
    <cellStyle name="Note 2 2 2 6 2 2 3" xfId="23284"/>
    <cellStyle name="Note 2 2 2 6 2 3" xfId="16788"/>
    <cellStyle name="Note 2 2 2 6 2 4" xfId="20701"/>
    <cellStyle name="Note 2 2 2 6 3" xfId="16789"/>
    <cellStyle name="Note 2 2 2 6 3 2" xfId="16790"/>
    <cellStyle name="Note 2 2 2 6 3 3" xfId="21994"/>
    <cellStyle name="Note 2 2 2 6 4" xfId="16791"/>
    <cellStyle name="Note 2 2 2 6 5" xfId="19408"/>
    <cellStyle name="Note 2 2 2 7" xfId="16792"/>
    <cellStyle name="Note 2 2 2 7 2" xfId="16793"/>
    <cellStyle name="Note 2 2 2 7 2 2" xfId="16794"/>
    <cellStyle name="Note 2 2 2 7 2 3" xfId="22639"/>
    <cellStyle name="Note 2 2 2 7 3" xfId="16795"/>
    <cellStyle name="Note 2 2 2 7 4" xfId="20056"/>
    <cellStyle name="Note 2 2 2 8" xfId="16796"/>
    <cellStyle name="Note 2 2 2 8 2" xfId="16797"/>
    <cellStyle name="Note 2 2 2 8 3" xfId="21349"/>
    <cellStyle name="Note 2 2 2 9" xfId="16798"/>
    <cellStyle name="Note 2 2 3" xfId="16799"/>
    <cellStyle name="Note 2 2 3 2" xfId="16800"/>
    <cellStyle name="Note 2 2 3 2 2" xfId="16801"/>
    <cellStyle name="Note 2 2 3 2 2 2" xfId="16802"/>
    <cellStyle name="Note 2 2 3 2 2 2 2" xfId="16803"/>
    <cellStyle name="Note 2 2 3 2 2 2 2 2" xfId="16804"/>
    <cellStyle name="Note 2 2 3 2 2 2 2 2 2" xfId="16805"/>
    <cellStyle name="Note 2 2 3 2 2 2 2 2 2 2" xfId="16806"/>
    <cellStyle name="Note 2 2 3 2 2 2 2 2 2 3" xfId="23868"/>
    <cellStyle name="Note 2 2 3 2 2 2 2 2 3" xfId="16807"/>
    <cellStyle name="Note 2 2 3 2 2 2 2 2 4" xfId="21285"/>
    <cellStyle name="Note 2 2 3 2 2 2 2 3" xfId="16808"/>
    <cellStyle name="Note 2 2 3 2 2 2 2 3 2" xfId="16809"/>
    <cellStyle name="Note 2 2 3 2 2 2 2 3 3" xfId="22578"/>
    <cellStyle name="Note 2 2 3 2 2 2 2 4" xfId="16810"/>
    <cellStyle name="Note 2 2 3 2 2 2 2 5" xfId="19991"/>
    <cellStyle name="Note 2 2 3 2 2 2 3" xfId="16811"/>
    <cellStyle name="Note 2 2 3 2 2 2 3 2" xfId="16812"/>
    <cellStyle name="Note 2 2 3 2 2 2 3 2 2" xfId="16813"/>
    <cellStyle name="Note 2 2 3 2 2 2 3 2 3" xfId="23223"/>
    <cellStyle name="Note 2 2 3 2 2 2 3 3" xfId="16814"/>
    <cellStyle name="Note 2 2 3 2 2 2 3 4" xfId="20640"/>
    <cellStyle name="Note 2 2 3 2 2 2 4" xfId="16815"/>
    <cellStyle name="Note 2 2 3 2 2 2 4 2" xfId="16816"/>
    <cellStyle name="Note 2 2 3 2 2 2 4 3" xfId="21933"/>
    <cellStyle name="Note 2 2 3 2 2 2 5" xfId="16817"/>
    <cellStyle name="Note 2 2 3 2 2 2 6" xfId="19343"/>
    <cellStyle name="Note 2 2 3 2 2 3" xfId="16818"/>
    <cellStyle name="Note 2 2 3 2 2 3 2" xfId="16819"/>
    <cellStyle name="Note 2 2 3 2 2 3 2 2" xfId="16820"/>
    <cellStyle name="Note 2 2 3 2 2 3 2 2 2" xfId="16821"/>
    <cellStyle name="Note 2 2 3 2 2 3 2 2 3" xfId="23546"/>
    <cellStyle name="Note 2 2 3 2 2 3 2 3" xfId="16822"/>
    <cellStyle name="Note 2 2 3 2 2 3 2 4" xfId="20963"/>
    <cellStyle name="Note 2 2 3 2 2 3 3" xfId="16823"/>
    <cellStyle name="Note 2 2 3 2 2 3 3 2" xfId="16824"/>
    <cellStyle name="Note 2 2 3 2 2 3 3 3" xfId="22256"/>
    <cellStyle name="Note 2 2 3 2 2 3 4" xfId="16825"/>
    <cellStyle name="Note 2 2 3 2 2 3 5" xfId="19669"/>
    <cellStyle name="Note 2 2 3 2 2 4" xfId="16826"/>
    <cellStyle name="Note 2 2 3 2 2 4 2" xfId="16827"/>
    <cellStyle name="Note 2 2 3 2 2 4 2 2" xfId="16828"/>
    <cellStyle name="Note 2 2 3 2 2 4 2 3" xfId="22901"/>
    <cellStyle name="Note 2 2 3 2 2 4 3" xfId="16829"/>
    <cellStyle name="Note 2 2 3 2 2 4 4" xfId="20318"/>
    <cellStyle name="Note 2 2 3 2 2 5" xfId="16830"/>
    <cellStyle name="Note 2 2 3 2 2 5 2" xfId="16831"/>
    <cellStyle name="Note 2 2 3 2 2 5 3" xfId="21611"/>
    <cellStyle name="Note 2 2 3 2 2 6" xfId="16832"/>
    <cellStyle name="Note 2 2 3 2 2 7" xfId="19017"/>
    <cellStyle name="Note 2 2 3 2 3" xfId="16833"/>
    <cellStyle name="Note 2 2 3 2 3 2" xfId="16834"/>
    <cellStyle name="Note 2 2 3 2 3 2 2" xfId="16835"/>
    <cellStyle name="Note 2 2 3 2 3 2 2 2" xfId="16836"/>
    <cellStyle name="Note 2 2 3 2 3 2 2 2 2" xfId="16837"/>
    <cellStyle name="Note 2 2 3 2 3 2 2 2 3" xfId="23707"/>
    <cellStyle name="Note 2 2 3 2 3 2 2 3" xfId="16838"/>
    <cellStyle name="Note 2 2 3 2 3 2 2 4" xfId="21124"/>
    <cellStyle name="Note 2 2 3 2 3 2 3" xfId="16839"/>
    <cellStyle name="Note 2 2 3 2 3 2 3 2" xfId="16840"/>
    <cellStyle name="Note 2 2 3 2 3 2 3 3" xfId="22417"/>
    <cellStyle name="Note 2 2 3 2 3 2 4" xfId="16841"/>
    <cellStyle name="Note 2 2 3 2 3 2 5" xfId="19830"/>
    <cellStyle name="Note 2 2 3 2 3 3" xfId="16842"/>
    <cellStyle name="Note 2 2 3 2 3 3 2" xfId="16843"/>
    <cellStyle name="Note 2 2 3 2 3 3 2 2" xfId="16844"/>
    <cellStyle name="Note 2 2 3 2 3 3 2 3" xfId="23062"/>
    <cellStyle name="Note 2 2 3 2 3 3 3" xfId="16845"/>
    <cellStyle name="Note 2 2 3 2 3 3 4" xfId="20479"/>
    <cellStyle name="Note 2 2 3 2 3 4" xfId="16846"/>
    <cellStyle name="Note 2 2 3 2 3 4 2" xfId="16847"/>
    <cellStyle name="Note 2 2 3 2 3 4 3" xfId="21772"/>
    <cellStyle name="Note 2 2 3 2 3 5" xfId="16848"/>
    <cellStyle name="Note 2 2 3 2 3 6" xfId="19182"/>
    <cellStyle name="Note 2 2 3 2 4" xfId="16849"/>
    <cellStyle name="Note 2 2 3 2 4 2" xfId="16850"/>
    <cellStyle name="Note 2 2 3 2 4 2 2" xfId="16851"/>
    <cellStyle name="Note 2 2 3 2 4 2 2 2" xfId="16852"/>
    <cellStyle name="Note 2 2 3 2 4 2 2 3" xfId="23385"/>
    <cellStyle name="Note 2 2 3 2 4 2 3" xfId="16853"/>
    <cellStyle name="Note 2 2 3 2 4 2 4" xfId="20802"/>
    <cellStyle name="Note 2 2 3 2 4 3" xfId="16854"/>
    <cellStyle name="Note 2 2 3 2 4 3 2" xfId="16855"/>
    <cellStyle name="Note 2 2 3 2 4 3 3" xfId="22095"/>
    <cellStyle name="Note 2 2 3 2 4 4" xfId="16856"/>
    <cellStyle name="Note 2 2 3 2 4 5" xfId="19508"/>
    <cellStyle name="Note 2 2 3 2 5" xfId="16857"/>
    <cellStyle name="Note 2 2 3 2 5 2" xfId="16858"/>
    <cellStyle name="Note 2 2 3 2 5 2 2" xfId="16859"/>
    <cellStyle name="Note 2 2 3 2 5 2 3" xfId="22740"/>
    <cellStyle name="Note 2 2 3 2 5 3" xfId="16860"/>
    <cellStyle name="Note 2 2 3 2 5 4" xfId="20157"/>
    <cellStyle name="Note 2 2 3 2 6" xfId="16861"/>
    <cellStyle name="Note 2 2 3 2 6 2" xfId="16862"/>
    <cellStyle name="Note 2 2 3 2 6 3" xfId="21450"/>
    <cellStyle name="Note 2 2 3 2 7" xfId="16863"/>
    <cellStyle name="Note 2 2 3 2 8" xfId="18852"/>
    <cellStyle name="Note 2 2 3 3" xfId="16864"/>
    <cellStyle name="Note 2 2 3 3 2" xfId="16865"/>
    <cellStyle name="Note 2 2 3 3 2 2" xfId="16866"/>
    <cellStyle name="Note 2 2 3 3 2 2 2" xfId="16867"/>
    <cellStyle name="Note 2 2 3 3 2 2 2 2" xfId="16868"/>
    <cellStyle name="Note 2 2 3 3 2 2 2 2 2" xfId="16869"/>
    <cellStyle name="Note 2 2 3 3 2 2 2 2 3" xfId="23788"/>
    <cellStyle name="Note 2 2 3 3 2 2 2 3" xfId="16870"/>
    <cellStyle name="Note 2 2 3 3 2 2 2 4" xfId="21205"/>
    <cellStyle name="Note 2 2 3 3 2 2 3" xfId="16871"/>
    <cellStyle name="Note 2 2 3 3 2 2 3 2" xfId="16872"/>
    <cellStyle name="Note 2 2 3 3 2 2 3 3" xfId="22498"/>
    <cellStyle name="Note 2 2 3 3 2 2 4" xfId="16873"/>
    <cellStyle name="Note 2 2 3 3 2 2 5" xfId="19911"/>
    <cellStyle name="Note 2 2 3 3 2 3" xfId="16874"/>
    <cellStyle name="Note 2 2 3 3 2 3 2" xfId="16875"/>
    <cellStyle name="Note 2 2 3 3 2 3 2 2" xfId="16876"/>
    <cellStyle name="Note 2 2 3 3 2 3 2 3" xfId="23143"/>
    <cellStyle name="Note 2 2 3 3 2 3 3" xfId="16877"/>
    <cellStyle name="Note 2 2 3 3 2 3 4" xfId="20560"/>
    <cellStyle name="Note 2 2 3 3 2 4" xfId="16878"/>
    <cellStyle name="Note 2 2 3 3 2 4 2" xfId="16879"/>
    <cellStyle name="Note 2 2 3 3 2 4 3" xfId="21853"/>
    <cellStyle name="Note 2 2 3 3 2 5" xfId="16880"/>
    <cellStyle name="Note 2 2 3 3 2 6" xfId="19263"/>
    <cellStyle name="Note 2 2 3 3 3" xfId="16881"/>
    <cellStyle name="Note 2 2 3 3 3 2" xfId="16882"/>
    <cellStyle name="Note 2 2 3 3 3 2 2" xfId="16883"/>
    <cellStyle name="Note 2 2 3 3 3 2 2 2" xfId="16884"/>
    <cellStyle name="Note 2 2 3 3 3 2 2 3" xfId="23466"/>
    <cellStyle name="Note 2 2 3 3 3 2 3" xfId="16885"/>
    <cellStyle name="Note 2 2 3 3 3 2 4" xfId="20883"/>
    <cellStyle name="Note 2 2 3 3 3 3" xfId="16886"/>
    <cellStyle name="Note 2 2 3 3 3 3 2" xfId="16887"/>
    <cellStyle name="Note 2 2 3 3 3 3 3" xfId="22176"/>
    <cellStyle name="Note 2 2 3 3 3 4" xfId="16888"/>
    <cellStyle name="Note 2 2 3 3 3 5" xfId="19589"/>
    <cellStyle name="Note 2 2 3 3 4" xfId="16889"/>
    <cellStyle name="Note 2 2 3 3 4 2" xfId="16890"/>
    <cellStyle name="Note 2 2 3 3 4 2 2" xfId="16891"/>
    <cellStyle name="Note 2 2 3 3 4 2 3" xfId="22821"/>
    <cellStyle name="Note 2 2 3 3 4 3" xfId="16892"/>
    <cellStyle name="Note 2 2 3 3 4 4" xfId="20238"/>
    <cellStyle name="Note 2 2 3 3 5" xfId="16893"/>
    <cellStyle name="Note 2 2 3 3 5 2" xfId="16894"/>
    <cellStyle name="Note 2 2 3 3 5 3" xfId="21531"/>
    <cellStyle name="Note 2 2 3 3 6" xfId="16895"/>
    <cellStyle name="Note 2 2 3 3 7" xfId="18937"/>
    <cellStyle name="Note 2 2 3 4" xfId="16896"/>
    <cellStyle name="Note 2 2 3 4 2" xfId="16897"/>
    <cellStyle name="Note 2 2 3 4 2 2" xfId="16898"/>
    <cellStyle name="Note 2 2 3 4 2 2 2" xfId="16899"/>
    <cellStyle name="Note 2 2 3 4 2 2 2 2" xfId="16900"/>
    <cellStyle name="Note 2 2 3 4 2 2 2 3" xfId="23627"/>
    <cellStyle name="Note 2 2 3 4 2 2 3" xfId="16901"/>
    <cellStyle name="Note 2 2 3 4 2 2 4" xfId="21044"/>
    <cellStyle name="Note 2 2 3 4 2 3" xfId="16902"/>
    <cellStyle name="Note 2 2 3 4 2 3 2" xfId="16903"/>
    <cellStyle name="Note 2 2 3 4 2 3 3" xfId="22337"/>
    <cellStyle name="Note 2 2 3 4 2 4" xfId="16904"/>
    <cellStyle name="Note 2 2 3 4 2 5" xfId="19750"/>
    <cellStyle name="Note 2 2 3 4 3" xfId="16905"/>
    <cellStyle name="Note 2 2 3 4 3 2" xfId="16906"/>
    <cellStyle name="Note 2 2 3 4 3 2 2" xfId="16907"/>
    <cellStyle name="Note 2 2 3 4 3 2 3" xfId="22982"/>
    <cellStyle name="Note 2 2 3 4 3 3" xfId="16908"/>
    <cellStyle name="Note 2 2 3 4 3 4" xfId="20399"/>
    <cellStyle name="Note 2 2 3 4 4" xfId="16909"/>
    <cellStyle name="Note 2 2 3 4 4 2" xfId="16910"/>
    <cellStyle name="Note 2 2 3 4 4 3" xfId="21692"/>
    <cellStyle name="Note 2 2 3 4 5" xfId="16911"/>
    <cellStyle name="Note 2 2 3 4 6" xfId="19102"/>
    <cellStyle name="Note 2 2 3 5" xfId="16912"/>
    <cellStyle name="Note 2 2 3 5 2" xfId="16913"/>
    <cellStyle name="Note 2 2 3 5 2 2" xfId="16914"/>
    <cellStyle name="Note 2 2 3 5 2 2 2" xfId="16915"/>
    <cellStyle name="Note 2 2 3 5 2 2 3" xfId="23304"/>
    <cellStyle name="Note 2 2 3 5 2 3" xfId="16916"/>
    <cellStyle name="Note 2 2 3 5 2 4" xfId="20721"/>
    <cellStyle name="Note 2 2 3 5 3" xfId="16917"/>
    <cellStyle name="Note 2 2 3 5 3 2" xfId="16918"/>
    <cellStyle name="Note 2 2 3 5 3 3" xfId="22014"/>
    <cellStyle name="Note 2 2 3 5 4" xfId="16919"/>
    <cellStyle name="Note 2 2 3 5 5" xfId="19428"/>
    <cellStyle name="Note 2 2 3 6" xfId="16920"/>
    <cellStyle name="Note 2 2 3 6 2" xfId="16921"/>
    <cellStyle name="Note 2 2 3 6 2 2" xfId="16922"/>
    <cellStyle name="Note 2 2 3 6 2 3" xfId="22659"/>
    <cellStyle name="Note 2 2 3 6 3" xfId="16923"/>
    <cellStyle name="Note 2 2 3 6 4" xfId="20076"/>
    <cellStyle name="Note 2 2 3 7" xfId="16924"/>
    <cellStyle name="Note 2 2 3 7 2" xfId="16925"/>
    <cellStyle name="Note 2 2 3 7 3" xfId="21369"/>
    <cellStyle name="Note 2 2 3 8" xfId="16926"/>
    <cellStyle name="Note 2 2 3 9" xfId="18755"/>
    <cellStyle name="Note 2 2 4" xfId="16927"/>
    <cellStyle name="Note 2 2 4 2" xfId="16928"/>
    <cellStyle name="Note 2 2 4 2 2" xfId="16929"/>
    <cellStyle name="Note 2 2 4 2 2 2" xfId="16930"/>
    <cellStyle name="Note 2 2 4 2 2 2 2" xfId="16931"/>
    <cellStyle name="Note 2 2 4 2 2 2 2 2" xfId="16932"/>
    <cellStyle name="Note 2 2 4 2 2 2 2 2 2" xfId="16933"/>
    <cellStyle name="Note 2 2 4 2 2 2 2 2 3" xfId="23828"/>
    <cellStyle name="Note 2 2 4 2 2 2 2 3" xfId="16934"/>
    <cellStyle name="Note 2 2 4 2 2 2 2 4" xfId="21245"/>
    <cellStyle name="Note 2 2 4 2 2 2 3" xfId="16935"/>
    <cellStyle name="Note 2 2 4 2 2 2 3 2" xfId="16936"/>
    <cellStyle name="Note 2 2 4 2 2 2 3 3" xfId="22538"/>
    <cellStyle name="Note 2 2 4 2 2 2 4" xfId="16937"/>
    <cellStyle name="Note 2 2 4 2 2 2 5" xfId="19951"/>
    <cellStyle name="Note 2 2 4 2 2 3" xfId="16938"/>
    <cellStyle name="Note 2 2 4 2 2 3 2" xfId="16939"/>
    <cellStyle name="Note 2 2 4 2 2 3 2 2" xfId="16940"/>
    <cellStyle name="Note 2 2 4 2 2 3 2 3" xfId="23183"/>
    <cellStyle name="Note 2 2 4 2 2 3 3" xfId="16941"/>
    <cellStyle name="Note 2 2 4 2 2 3 4" xfId="20600"/>
    <cellStyle name="Note 2 2 4 2 2 4" xfId="16942"/>
    <cellStyle name="Note 2 2 4 2 2 4 2" xfId="16943"/>
    <cellStyle name="Note 2 2 4 2 2 4 3" xfId="21893"/>
    <cellStyle name="Note 2 2 4 2 2 5" xfId="16944"/>
    <cellStyle name="Note 2 2 4 2 2 6" xfId="19303"/>
    <cellStyle name="Note 2 2 4 2 3" xfId="16945"/>
    <cellStyle name="Note 2 2 4 2 3 2" xfId="16946"/>
    <cellStyle name="Note 2 2 4 2 3 2 2" xfId="16947"/>
    <cellStyle name="Note 2 2 4 2 3 2 2 2" xfId="16948"/>
    <cellStyle name="Note 2 2 4 2 3 2 2 3" xfId="23506"/>
    <cellStyle name="Note 2 2 4 2 3 2 3" xfId="16949"/>
    <cellStyle name="Note 2 2 4 2 3 2 4" xfId="20923"/>
    <cellStyle name="Note 2 2 4 2 3 3" xfId="16950"/>
    <cellStyle name="Note 2 2 4 2 3 3 2" xfId="16951"/>
    <cellStyle name="Note 2 2 4 2 3 3 3" xfId="22216"/>
    <cellStyle name="Note 2 2 4 2 3 4" xfId="16952"/>
    <cellStyle name="Note 2 2 4 2 3 5" xfId="19629"/>
    <cellStyle name="Note 2 2 4 2 4" xfId="16953"/>
    <cellStyle name="Note 2 2 4 2 4 2" xfId="16954"/>
    <cellStyle name="Note 2 2 4 2 4 2 2" xfId="16955"/>
    <cellStyle name="Note 2 2 4 2 4 2 3" xfId="22861"/>
    <cellStyle name="Note 2 2 4 2 4 3" xfId="16956"/>
    <cellStyle name="Note 2 2 4 2 4 4" xfId="20278"/>
    <cellStyle name="Note 2 2 4 2 5" xfId="16957"/>
    <cellStyle name="Note 2 2 4 2 5 2" xfId="16958"/>
    <cellStyle name="Note 2 2 4 2 5 3" xfId="21571"/>
    <cellStyle name="Note 2 2 4 2 6" xfId="16959"/>
    <cellStyle name="Note 2 2 4 2 7" xfId="18977"/>
    <cellStyle name="Note 2 2 4 3" xfId="16960"/>
    <cellStyle name="Note 2 2 4 3 2" xfId="16961"/>
    <cellStyle name="Note 2 2 4 3 2 2" xfId="16962"/>
    <cellStyle name="Note 2 2 4 3 2 2 2" xfId="16963"/>
    <cellStyle name="Note 2 2 4 3 2 2 2 2" xfId="16964"/>
    <cellStyle name="Note 2 2 4 3 2 2 2 3" xfId="23667"/>
    <cellStyle name="Note 2 2 4 3 2 2 3" xfId="16965"/>
    <cellStyle name="Note 2 2 4 3 2 2 4" xfId="21084"/>
    <cellStyle name="Note 2 2 4 3 2 3" xfId="16966"/>
    <cellStyle name="Note 2 2 4 3 2 3 2" xfId="16967"/>
    <cellStyle name="Note 2 2 4 3 2 3 3" xfId="22377"/>
    <cellStyle name="Note 2 2 4 3 2 4" xfId="16968"/>
    <cellStyle name="Note 2 2 4 3 2 5" xfId="19790"/>
    <cellStyle name="Note 2 2 4 3 3" xfId="16969"/>
    <cellStyle name="Note 2 2 4 3 3 2" xfId="16970"/>
    <cellStyle name="Note 2 2 4 3 3 2 2" xfId="16971"/>
    <cellStyle name="Note 2 2 4 3 3 2 3" xfId="23022"/>
    <cellStyle name="Note 2 2 4 3 3 3" xfId="16972"/>
    <cellStyle name="Note 2 2 4 3 3 4" xfId="20439"/>
    <cellStyle name="Note 2 2 4 3 4" xfId="16973"/>
    <cellStyle name="Note 2 2 4 3 4 2" xfId="16974"/>
    <cellStyle name="Note 2 2 4 3 4 3" xfId="21732"/>
    <cellStyle name="Note 2 2 4 3 5" xfId="16975"/>
    <cellStyle name="Note 2 2 4 3 6" xfId="19142"/>
    <cellStyle name="Note 2 2 4 4" xfId="16976"/>
    <cellStyle name="Note 2 2 4 4 2" xfId="16977"/>
    <cellStyle name="Note 2 2 4 4 2 2" xfId="16978"/>
    <cellStyle name="Note 2 2 4 4 2 2 2" xfId="16979"/>
    <cellStyle name="Note 2 2 4 4 2 2 3" xfId="23345"/>
    <cellStyle name="Note 2 2 4 4 2 3" xfId="16980"/>
    <cellStyle name="Note 2 2 4 4 2 4" xfId="20762"/>
    <cellStyle name="Note 2 2 4 4 3" xfId="16981"/>
    <cellStyle name="Note 2 2 4 4 3 2" xfId="16982"/>
    <cellStyle name="Note 2 2 4 4 3 3" xfId="22055"/>
    <cellStyle name="Note 2 2 4 4 4" xfId="16983"/>
    <cellStyle name="Note 2 2 4 4 5" xfId="19468"/>
    <cellStyle name="Note 2 2 4 5" xfId="16984"/>
    <cellStyle name="Note 2 2 4 5 2" xfId="16985"/>
    <cellStyle name="Note 2 2 4 5 2 2" xfId="16986"/>
    <cellStyle name="Note 2 2 4 5 2 3" xfId="22700"/>
    <cellStyle name="Note 2 2 4 5 3" xfId="16987"/>
    <cellStyle name="Note 2 2 4 5 4" xfId="20117"/>
    <cellStyle name="Note 2 2 4 6" xfId="16988"/>
    <cellStyle name="Note 2 2 4 6 2" xfId="16989"/>
    <cellStyle name="Note 2 2 4 6 3" xfId="21410"/>
    <cellStyle name="Note 2 2 4 7" xfId="16990"/>
    <cellStyle name="Note 2 2 4 8" xfId="18810"/>
    <cellStyle name="Note 2 2 5" xfId="16991"/>
    <cellStyle name="Note 2 2 5 2" xfId="16992"/>
    <cellStyle name="Note 2 2 5 2 2" xfId="16993"/>
    <cellStyle name="Note 2 2 5 2 2 2" xfId="16994"/>
    <cellStyle name="Note 2 2 5 2 2 2 2" xfId="16995"/>
    <cellStyle name="Note 2 2 5 2 2 2 2 2" xfId="16996"/>
    <cellStyle name="Note 2 2 5 2 2 2 2 3" xfId="23748"/>
    <cellStyle name="Note 2 2 5 2 2 2 3" xfId="16997"/>
    <cellStyle name="Note 2 2 5 2 2 2 4" xfId="21165"/>
    <cellStyle name="Note 2 2 5 2 2 3" xfId="16998"/>
    <cellStyle name="Note 2 2 5 2 2 3 2" xfId="16999"/>
    <cellStyle name="Note 2 2 5 2 2 3 3" xfId="22458"/>
    <cellStyle name="Note 2 2 5 2 2 4" xfId="17000"/>
    <cellStyle name="Note 2 2 5 2 2 5" xfId="19871"/>
    <cellStyle name="Note 2 2 5 2 3" xfId="17001"/>
    <cellStyle name="Note 2 2 5 2 3 2" xfId="17002"/>
    <cellStyle name="Note 2 2 5 2 3 2 2" xfId="17003"/>
    <cellStyle name="Note 2 2 5 2 3 2 3" xfId="23103"/>
    <cellStyle name="Note 2 2 5 2 3 3" xfId="17004"/>
    <cellStyle name="Note 2 2 5 2 3 4" xfId="20520"/>
    <cellStyle name="Note 2 2 5 2 4" xfId="17005"/>
    <cellStyle name="Note 2 2 5 2 4 2" xfId="17006"/>
    <cellStyle name="Note 2 2 5 2 4 3" xfId="21813"/>
    <cellStyle name="Note 2 2 5 2 5" xfId="17007"/>
    <cellStyle name="Note 2 2 5 2 6" xfId="19223"/>
    <cellStyle name="Note 2 2 5 3" xfId="17008"/>
    <cellStyle name="Note 2 2 5 3 2" xfId="17009"/>
    <cellStyle name="Note 2 2 5 3 2 2" xfId="17010"/>
    <cellStyle name="Note 2 2 5 3 2 2 2" xfId="17011"/>
    <cellStyle name="Note 2 2 5 3 2 2 3" xfId="23426"/>
    <cellStyle name="Note 2 2 5 3 2 3" xfId="17012"/>
    <cellStyle name="Note 2 2 5 3 2 4" xfId="20843"/>
    <cellStyle name="Note 2 2 5 3 3" xfId="17013"/>
    <cellStyle name="Note 2 2 5 3 3 2" xfId="17014"/>
    <cellStyle name="Note 2 2 5 3 3 3" xfId="22136"/>
    <cellStyle name="Note 2 2 5 3 4" xfId="17015"/>
    <cellStyle name="Note 2 2 5 3 5" xfId="19549"/>
    <cellStyle name="Note 2 2 5 4" xfId="17016"/>
    <cellStyle name="Note 2 2 5 4 2" xfId="17017"/>
    <cellStyle name="Note 2 2 5 4 2 2" xfId="17018"/>
    <cellStyle name="Note 2 2 5 4 2 3" xfId="22781"/>
    <cellStyle name="Note 2 2 5 4 3" xfId="17019"/>
    <cellStyle name="Note 2 2 5 4 4" xfId="20198"/>
    <cellStyle name="Note 2 2 5 5" xfId="17020"/>
    <cellStyle name="Note 2 2 5 5 2" xfId="17021"/>
    <cellStyle name="Note 2 2 5 5 3" xfId="21491"/>
    <cellStyle name="Note 2 2 5 6" xfId="17022"/>
    <cellStyle name="Note 2 2 5 7" xfId="18897"/>
    <cellStyle name="Note 2 2 6" xfId="17023"/>
    <cellStyle name="Note 2 2 6 2" xfId="17024"/>
    <cellStyle name="Note 2 2 6 2 2" xfId="17025"/>
    <cellStyle name="Note 2 2 6 2 2 2" xfId="17026"/>
    <cellStyle name="Note 2 2 6 2 2 2 2" xfId="17027"/>
    <cellStyle name="Note 2 2 6 2 2 2 3" xfId="23587"/>
    <cellStyle name="Note 2 2 6 2 2 3" xfId="17028"/>
    <cellStyle name="Note 2 2 6 2 2 4" xfId="21004"/>
    <cellStyle name="Note 2 2 6 2 3" xfId="17029"/>
    <cellStyle name="Note 2 2 6 2 3 2" xfId="17030"/>
    <cellStyle name="Note 2 2 6 2 3 3" xfId="22297"/>
    <cellStyle name="Note 2 2 6 2 4" xfId="17031"/>
    <cellStyle name="Note 2 2 6 2 5" xfId="19710"/>
    <cellStyle name="Note 2 2 6 3" xfId="17032"/>
    <cellStyle name="Note 2 2 6 3 2" xfId="17033"/>
    <cellStyle name="Note 2 2 6 3 2 2" xfId="17034"/>
    <cellStyle name="Note 2 2 6 3 2 3" xfId="22942"/>
    <cellStyle name="Note 2 2 6 3 3" xfId="17035"/>
    <cellStyle name="Note 2 2 6 3 4" xfId="20359"/>
    <cellStyle name="Note 2 2 6 4" xfId="17036"/>
    <cellStyle name="Note 2 2 6 4 2" xfId="17037"/>
    <cellStyle name="Note 2 2 6 4 3" xfId="21652"/>
    <cellStyle name="Note 2 2 6 5" xfId="17038"/>
    <cellStyle name="Note 2 2 6 6" xfId="19062"/>
    <cellStyle name="Note 2 2 7" xfId="17039"/>
    <cellStyle name="Note 2 2 7 2" xfId="17040"/>
    <cellStyle name="Note 2 2 7 2 2" xfId="17041"/>
    <cellStyle name="Note 2 2 7 2 2 2" xfId="17042"/>
    <cellStyle name="Note 2 2 7 2 2 3" xfId="23264"/>
    <cellStyle name="Note 2 2 7 2 3" xfId="17043"/>
    <cellStyle name="Note 2 2 7 2 4" xfId="20681"/>
    <cellStyle name="Note 2 2 7 3" xfId="17044"/>
    <cellStyle name="Note 2 2 7 3 2" xfId="17045"/>
    <cellStyle name="Note 2 2 7 3 3" xfId="21974"/>
    <cellStyle name="Note 2 2 7 4" xfId="17046"/>
    <cellStyle name="Note 2 2 7 5" xfId="19388"/>
    <cellStyle name="Note 2 2 8" xfId="17047"/>
    <cellStyle name="Note 2 2 8 2" xfId="17048"/>
    <cellStyle name="Note 2 2 8 2 2" xfId="17049"/>
    <cellStyle name="Note 2 2 8 2 3" xfId="22619"/>
    <cellStyle name="Note 2 2 8 3" xfId="17050"/>
    <cellStyle name="Note 2 2 8 4" xfId="20036"/>
    <cellStyle name="Note 2 2 9" xfId="17051"/>
    <cellStyle name="Note 2 2 9 2" xfId="17052"/>
    <cellStyle name="Note 2 2 9 3" xfId="21329"/>
    <cellStyle name="Note 2 3" xfId="17053"/>
    <cellStyle name="Note 2 3 10" xfId="18721"/>
    <cellStyle name="Note 2 3 2" xfId="17054"/>
    <cellStyle name="Note 2 3 2 2" xfId="17055"/>
    <cellStyle name="Note 2 3 2 2 2" xfId="17056"/>
    <cellStyle name="Note 2 3 2 2 2 2" xfId="17057"/>
    <cellStyle name="Note 2 3 2 2 2 2 2" xfId="17058"/>
    <cellStyle name="Note 2 3 2 2 2 2 2 2" xfId="17059"/>
    <cellStyle name="Note 2 3 2 2 2 2 2 2 2" xfId="17060"/>
    <cellStyle name="Note 2 3 2 2 2 2 2 2 2 2" xfId="17061"/>
    <cellStyle name="Note 2 3 2 2 2 2 2 2 2 3" xfId="23878"/>
    <cellStyle name="Note 2 3 2 2 2 2 2 2 3" xfId="17062"/>
    <cellStyle name="Note 2 3 2 2 2 2 2 2 4" xfId="21295"/>
    <cellStyle name="Note 2 3 2 2 2 2 2 3" xfId="17063"/>
    <cellStyle name="Note 2 3 2 2 2 2 2 3 2" xfId="17064"/>
    <cellStyle name="Note 2 3 2 2 2 2 2 3 3" xfId="22588"/>
    <cellStyle name="Note 2 3 2 2 2 2 2 4" xfId="17065"/>
    <cellStyle name="Note 2 3 2 2 2 2 2 5" xfId="20001"/>
    <cellStyle name="Note 2 3 2 2 2 2 3" xfId="17066"/>
    <cellStyle name="Note 2 3 2 2 2 2 3 2" xfId="17067"/>
    <cellStyle name="Note 2 3 2 2 2 2 3 2 2" xfId="17068"/>
    <cellStyle name="Note 2 3 2 2 2 2 3 2 3" xfId="23233"/>
    <cellStyle name="Note 2 3 2 2 2 2 3 3" xfId="17069"/>
    <cellStyle name="Note 2 3 2 2 2 2 3 4" xfId="20650"/>
    <cellStyle name="Note 2 3 2 2 2 2 4" xfId="17070"/>
    <cellStyle name="Note 2 3 2 2 2 2 4 2" xfId="17071"/>
    <cellStyle name="Note 2 3 2 2 2 2 4 3" xfId="21943"/>
    <cellStyle name="Note 2 3 2 2 2 2 5" xfId="17072"/>
    <cellStyle name="Note 2 3 2 2 2 2 6" xfId="19353"/>
    <cellStyle name="Note 2 3 2 2 2 3" xfId="17073"/>
    <cellStyle name="Note 2 3 2 2 2 3 2" xfId="17074"/>
    <cellStyle name="Note 2 3 2 2 2 3 2 2" xfId="17075"/>
    <cellStyle name="Note 2 3 2 2 2 3 2 2 2" xfId="17076"/>
    <cellStyle name="Note 2 3 2 2 2 3 2 2 3" xfId="23556"/>
    <cellStyle name="Note 2 3 2 2 2 3 2 3" xfId="17077"/>
    <cellStyle name="Note 2 3 2 2 2 3 2 4" xfId="20973"/>
    <cellStyle name="Note 2 3 2 2 2 3 3" xfId="17078"/>
    <cellStyle name="Note 2 3 2 2 2 3 3 2" xfId="17079"/>
    <cellStyle name="Note 2 3 2 2 2 3 3 3" xfId="22266"/>
    <cellStyle name="Note 2 3 2 2 2 3 4" xfId="17080"/>
    <cellStyle name="Note 2 3 2 2 2 3 5" xfId="19679"/>
    <cellStyle name="Note 2 3 2 2 2 4" xfId="17081"/>
    <cellStyle name="Note 2 3 2 2 2 4 2" xfId="17082"/>
    <cellStyle name="Note 2 3 2 2 2 4 2 2" xfId="17083"/>
    <cellStyle name="Note 2 3 2 2 2 4 2 3" xfId="22911"/>
    <cellStyle name="Note 2 3 2 2 2 4 3" xfId="17084"/>
    <cellStyle name="Note 2 3 2 2 2 4 4" xfId="20328"/>
    <cellStyle name="Note 2 3 2 2 2 5" xfId="17085"/>
    <cellStyle name="Note 2 3 2 2 2 5 2" xfId="17086"/>
    <cellStyle name="Note 2 3 2 2 2 5 3" xfId="21621"/>
    <cellStyle name="Note 2 3 2 2 2 6" xfId="17087"/>
    <cellStyle name="Note 2 3 2 2 2 7" xfId="19027"/>
    <cellStyle name="Note 2 3 2 2 3" xfId="17088"/>
    <cellStyle name="Note 2 3 2 2 3 2" xfId="17089"/>
    <cellStyle name="Note 2 3 2 2 3 2 2" xfId="17090"/>
    <cellStyle name="Note 2 3 2 2 3 2 2 2" xfId="17091"/>
    <cellStyle name="Note 2 3 2 2 3 2 2 2 2" xfId="17092"/>
    <cellStyle name="Note 2 3 2 2 3 2 2 2 3" xfId="23717"/>
    <cellStyle name="Note 2 3 2 2 3 2 2 3" xfId="17093"/>
    <cellStyle name="Note 2 3 2 2 3 2 2 4" xfId="21134"/>
    <cellStyle name="Note 2 3 2 2 3 2 3" xfId="17094"/>
    <cellStyle name="Note 2 3 2 2 3 2 3 2" xfId="17095"/>
    <cellStyle name="Note 2 3 2 2 3 2 3 3" xfId="22427"/>
    <cellStyle name="Note 2 3 2 2 3 2 4" xfId="17096"/>
    <cellStyle name="Note 2 3 2 2 3 2 5" xfId="19840"/>
    <cellStyle name="Note 2 3 2 2 3 3" xfId="17097"/>
    <cellStyle name="Note 2 3 2 2 3 3 2" xfId="17098"/>
    <cellStyle name="Note 2 3 2 2 3 3 2 2" xfId="17099"/>
    <cellStyle name="Note 2 3 2 2 3 3 2 3" xfId="23072"/>
    <cellStyle name="Note 2 3 2 2 3 3 3" xfId="17100"/>
    <cellStyle name="Note 2 3 2 2 3 3 4" xfId="20489"/>
    <cellStyle name="Note 2 3 2 2 3 4" xfId="17101"/>
    <cellStyle name="Note 2 3 2 2 3 4 2" xfId="17102"/>
    <cellStyle name="Note 2 3 2 2 3 4 3" xfId="21782"/>
    <cellStyle name="Note 2 3 2 2 3 5" xfId="17103"/>
    <cellStyle name="Note 2 3 2 2 3 6" xfId="19192"/>
    <cellStyle name="Note 2 3 2 2 4" xfId="17104"/>
    <cellStyle name="Note 2 3 2 2 4 2" xfId="17105"/>
    <cellStyle name="Note 2 3 2 2 4 2 2" xfId="17106"/>
    <cellStyle name="Note 2 3 2 2 4 2 2 2" xfId="17107"/>
    <cellStyle name="Note 2 3 2 2 4 2 2 3" xfId="23395"/>
    <cellStyle name="Note 2 3 2 2 4 2 3" xfId="17108"/>
    <cellStyle name="Note 2 3 2 2 4 2 4" xfId="20812"/>
    <cellStyle name="Note 2 3 2 2 4 3" xfId="17109"/>
    <cellStyle name="Note 2 3 2 2 4 3 2" xfId="17110"/>
    <cellStyle name="Note 2 3 2 2 4 3 3" xfId="22105"/>
    <cellStyle name="Note 2 3 2 2 4 4" xfId="17111"/>
    <cellStyle name="Note 2 3 2 2 4 5" xfId="19518"/>
    <cellStyle name="Note 2 3 2 2 5" xfId="17112"/>
    <cellStyle name="Note 2 3 2 2 5 2" xfId="17113"/>
    <cellStyle name="Note 2 3 2 2 5 2 2" xfId="17114"/>
    <cellStyle name="Note 2 3 2 2 5 2 3" xfId="22750"/>
    <cellStyle name="Note 2 3 2 2 5 3" xfId="17115"/>
    <cellStyle name="Note 2 3 2 2 5 4" xfId="20167"/>
    <cellStyle name="Note 2 3 2 2 6" xfId="17116"/>
    <cellStyle name="Note 2 3 2 2 6 2" xfId="17117"/>
    <cellStyle name="Note 2 3 2 2 6 3" xfId="21460"/>
    <cellStyle name="Note 2 3 2 2 7" xfId="17118"/>
    <cellStyle name="Note 2 3 2 2 8" xfId="18862"/>
    <cellStyle name="Note 2 3 2 3" xfId="17119"/>
    <cellStyle name="Note 2 3 2 3 2" xfId="17120"/>
    <cellStyle name="Note 2 3 2 3 2 2" xfId="17121"/>
    <cellStyle name="Note 2 3 2 3 2 2 2" xfId="17122"/>
    <cellStyle name="Note 2 3 2 3 2 2 2 2" xfId="17123"/>
    <cellStyle name="Note 2 3 2 3 2 2 2 2 2" xfId="17124"/>
    <cellStyle name="Note 2 3 2 3 2 2 2 2 3" xfId="23798"/>
    <cellStyle name="Note 2 3 2 3 2 2 2 3" xfId="17125"/>
    <cellStyle name="Note 2 3 2 3 2 2 2 4" xfId="21215"/>
    <cellStyle name="Note 2 3 2 3 2 2 3" xfId="17126"/>
    <cellStyle name="Note 2 3 2 3 2 2 3 2" xfId="17127"/>
    <cellStyle name="Note 2 3 2 3 2 2 3 3" xfId="22508"/>
    <cellStyle name="Note 2 3 2 3 2 2 4" xfId="17128"/>
    <cellStyle name="Note 2 3 2 3 2 2 5" xfId="19921"/>
    <cellStyle name="Note 2 3 2 3 2 3" xfId="17129"/>
    <cellStyle name="Note 2 3 2 3 2 3 2" xfId="17130"/>
    <cellStyle name="Note 2 3 2 3 2 3 2 2" xfId="17131"/>
    <cellStyle name="Note 2 3 2 3 2 3 2 3" xfId="23153"/>
    <cellStyle name="Note 2 3 2 3 2 3 3" xfId="17132"/>
    <cellStyle name="Note 2 3 2 3 2 3 4" xfId="20570"/>
    <cellStyle name="Note 2 3 2 3 2 4" xfId="17133"/>
    <cellStyle name="Note 2 3 2 3 2 4 2" xfId="17134"/>
    <cellStyle name="Note 2 3 2 3 2 4 3" xfId="21863"/>
    <cellStyle name="Note 2 3 2 3 2 5" xfId="17135"/>
    <cellStyle name="Note 2 3 2 3 2 6" xfId="19273"/>
    <cellStyle name="Note 2 3 2 3 3" xfId="17136"/>
    <cellStyle name="Note 2 3 2 3 3 2" xfId="17137"/>
    <cellStyle name="Note 2 3 2 3 3 2 2" xfId="17138"/>
    <cellStyle name="Note 2 3 2 3 3 2 2 2" xfId="17139"/>
    <cellStyle name="Note 2 3 2 3 3 2 2 3" xfId="23476"/>
    <cellStyle name="Note 2 3 2 3 3 2 3" xfId="17140"/>
    <cellStyle name="Note 2 3 2 3 3 2 4" xfId="20893"/>
    <cellStyle name="Note 2 3 2 3 3 3" xfId="17141"/>
    <cellStyle name="Note 2 3 2 3 3 3 2" xfId="17142"/>
    <cellStyle name="Note 2 3 2 3 3 3 3" xfId="22186"/>
    <cellStyle name="Note 2 3 2 3 3 4" xfId="17143"/>
    <cellStyle name="Note 2 3 2 3 3 5" xfId="19599"/>
    <cellStyle name="Note 2 3 2 3 4" xfId="17144"/>
    <cellStyle name="Note 2 3 2 3 4 2" xfId="17145"/>
    <cellStyle name="Note 2 3 2 3 4 2 2" xfId="17146"/>
    <cellStyle name="Note 2 3 2 3 4 2 3" xfId="22831"/>
    <cellStyle name="Note 2 3 2 3 4 3" xfId="17147"/>
    <cellStyle name="Note 2 3 2 3 4 4" xfId="20248"/>
    <cellStyle name="Note 2 3 2 3 5" xfId="17148"/>
    <cellStyle name="Note 2 3 2 3 5 2" xfId="17149"/>
    <cellStyle name="Note 2 3 2 3 5 3" xfId="21541"/>
    <cellStyle name="Note 2 3 2 3 6" xfId="17150"/>
    <cellStyle name="Note 2 3 2 3 7" xfId="18947"/>
    <cellStyle name="Note 2 3 2 4" xfId="17151"/>
    <cellStyle name="Note 2 3 2 4 2" xfId="17152"/>
    <cellStyle name="Note 2 3 2 4 2 2" xfId="17153"/>
    <cellStyle name="Note 2 3 2 4 2 2 2" xfId="17154"/>
    <cellStyle name="Note 2 3 2 4 2 2 2 2" xfId="17155"/>
    <cellStyle name="Note 2 3 2 4 2 2 2 3" xfId="23637"/>
    <cellStyle name="Note 2 3 2 4 2 2 3" xfId="17156"/>
    <cellStyle name="Note 2 3 2 4 2 2 4" xfId="21054"/>
    <cellStyle name="Note 2 3 2 4 2 3" xfId="17157"/>
    <cellStyle name="Note 2 3 2 4 2 3 2" xfId="17158"/>
    <cellStyle name="Note 2 3 2 4 2 3 3" xfId="22347"/>
    <cellStyle name="Note 2 3 2 4 2 4" xfId="17159"/>
    <cellStyle name="Note 2 3 2 4 2 5" xfId="19760"/>
    <cellStyle name="Note 2 3 2 4 3" xfId="17160"/>
    <cellStyle name="Note 2 3 2 4 3 2" xfId="17161"/>
    <cellStyle name="Note 2 3 2 4 3 2 2" xfId="17162"/>
    <cellStyle name="Note 2 3 2 4 3 2 3" xfId="22992"/>
    <cellStyle name="Note 2 3 2 4 3 3" xfId="17163"/>
    <cellStyle name="Note 2 3 2 4 3 4" xfId="20409"/>
    <cellStyle name="Note 2 3 2 4 4" xfId="17164"/>
    <cellStyle name="Note 2 3 2 4 4 2" xfId="17165"/>
    <cellStyle name="Note 2 3 2 4 4 3" xfId="21702"/>
    <cellStyle name="Note 2 3 2 4 5" xfId="17166"/>
    <cellStyle name="Note 2 3 2 4 6" xfId="19112"/>
    <cellStyle name="Note 2 3 2 5" xfId="17167"/>
    <cellStyle name="Note 2 3 2 5 2" xfId="17168"/>
    <cellStyle name="Note 2 3 2 5 2 2" xfId="17169"/>
    <cellStyle name="Note 2 3 2 5 2 2 2" xfId="17170"/>
    <cellStyle name="Note 2 3 2 5 2 2 3" xfId="23314"/>
    <cellStyle name="Note 2 3 2 5 2 3" xfId="17171"/>
    <cellStyle name="Note 2 3 2 5 2 4" xfId="20731"/>
    <cellStyle name="Note 2 3 2 5 3" xfId="17172"/>
    <cellStyle name="Note 2 3 2 5 3 2" xfId="17173"/>
    <cellStyle name="Note 2 3 2 5 3 3" xfId="22024"/>
    <cellStyle name="Note 2 3 2 5 4" xfId="17174"/>
    <cellStyle name="Note 2 3 2 5 5" xfId="19438"/>
    <cellStyle name="Note 2 3 2 6" xfId="17175"/>
    <cellStyle name="Note 2 3 2 6 2" xfId="17176"/>
    <cellStyle name="Note 2 3 2 6 2 2" xfId="17177"/>
    <cellStyle name="Note 2 3 2 6 2 3" xfId="22669"/>
    <cellStyle name="Note 2 3 2 6 3" xfId="17178"/>
    <cellStyle name="Note 2 3 2 6 4" xfId="20086"/>
    <cellStyle name="Note 2 3 2 7" xfId="17179"/>
    <cellStyle name="Note 2 3 2 7 2" xfId="17180"/>
    <cellStyle name="Note 2 3 2 7 3" xfId="21379"/>
    <cellStyle name="Note 2 3 2 8" xfId="17181"/>
    <cellStyle name="Note 2 3 2 9" xfId="18765"/>
    <cellStyle name="Note 2 3 3" xfId="17182"/>
    <cellStyle name="Note 2 3 3 2" xfId="17183"/>
    <cellStyle name="Note 2 3 3 2 2" xfId="17184"/>
    <cellStyle name="Note 2 3 3 2 2 2" xfId="17185"/>
    <cellStyle name="Note 2 3 3 2 2 2 2" xfId="17186"/>
    <cellStyle name="Note 2 3 3 2 2 2 2 2" xfId="17187"/>
    <cellStyle name="Note 2 3 3 2 2 2 2 2 2" xfId="17188"/>
    <cellStyle name="Note 2 3 3 2 2 2 2 2 3" xfId="23838"/>
    <cellStyle name="Note 2 3 3 2 2 2 2 3" xfId="17189"/>
    <cellStyle name="Note 2 3 3 2 2 2 2 4" xfId="21255"/>
    <cellStyle name="Note 2 3 3 2 2 2 3" xfId="17190"/>
    <cellStyle name="Note 2 3 3 2 2 2 3 2" xfId="17191"/>
    <cellStyle name="Note 2 3 3 2 2 2 3 3" xfId="22548"/>
    <cellStyle name="Note 2 3 3 2 2 2 4" xfId="17192"/>
    <cellStyle name="Note 2 3 3 2 2 2 5" xfId="19961"/>
    <cellStyle name="Note 2 3 3 2 2 3" xfId="17193"/>
    <cellStyle name="Note 2 3 3 2 2 3 2" xfId="17194"/>
    <cellStyle name="Note 2 3 3 2 2 3 2 2" xfId="17195"/>
    <cellStyle name="Note 2 3 3 2 2 3 2 3" xfId="23193"/>
    <cellStyle name="Note 2 3 3 2 2 3 3" xfId="17196"/>
    <cellStyle name="Note 2 3 3 2 2 3 4" xfId="20610"/>
    <cellStyle name="Note 2 3 3 2 2 4" xfId="17197"/>
    <cellStyle name="Note 2 3 3 2 2 4 2" xfId="17198"/>
    <cellStyle name="Note 2 3 3 2 2 4 3" xfId="21903"/>
    <cellStyle name="Note 2 3 3 2 2 5" xfId="17199"/>
    <cellStyle name="Note 2 3 3 2 2 6" xfId="19313"/>
    <cellStyle name="Note 2 3 3 2 3" xfId="17200"/>
    <cellStyle name="Note 2 3 3 2 3 2" xfId="17201"/>
    <cellStyle name="Note 2 3 3 2 3 2 2" xfId="17202"/>
    <cellStyle name="Note 2 3 3 2 3 2 2 2" xfId="17203"/>
    <cellStyle name="Note 2 3 3 2 3 2 2 3" xfId="23516"/>
    <cellStyle name="Note 2 3 3 2 3 2 3" xfId="17204"/>
    <cellStyle name="Note 2 3 3 2 3 2 4" xfId="20933"/>
    <cellStyle name="Note 2 3 3 2 3 3" xfId="17205"/>
    <cellStyle name="Note 2 3 3 2 3 3 2" xfId="17206"/>
    <cellStyle name="Note 2 3 3 2 3 3 3" xfId="22226"/>
    <cellStyle name="Note 2 3 3 2 3 4" xfId="17207"/>
    <cellStyle name="Note 2 3 3 2 3 5" xfId="19639"/>
    <cellStyle name="Note 2 3 3 2 4" xfId="17208"/>
    <cellStyle name="Note 2 3 3 2 4 2" xfId="17209"/>
    <cellStyle name="Note 2 3 3 2 4 2 2" xfId="17210"/>
    <cellStyle name="Note 2 3 3 2 4 2 3" xfId="22871"/>
    <cellStyle name="Note 2 3 3 2 4 3" xfId="17211"/>
    <cellStyle name="Note 2 3 3 2 4 4" xfId="20288"/>
    <cellStyle name="Note 2 3 3 2 5" xfId="17212"/>
    <cellStyle name="Note 2 3 3 2 5 2" xfId="17213"/>
    <cellStyle name="Note 2 3 3 2 5 3" xfId="21581"/>
    <cellStyle name="Note 2 3 3 2 6" xfId="17214"/>
    <cellStyle name="Note 2 3 3 2 7" xfId="18987"/>
    <cellStyle name="Note 2 3 3 3" xfId="17215"/>
    <cellStyle name="Note 2 3 3 3 2" xfId="17216"/>
    <cellStyle name="Note 2 3 3 3 2 2" xfId="17217"/>
    <cellStyle name="Note 2 3 3 3 2 2 2" xfId="17218"/>
    <cellStyle name="Note 2 3 3 3 2 2 2 2" xfId="17219"/>
    <cellStyle name="Note 2 3 3 3 2 2 2 3" xfId="23677"/>
    <cellStyle name="Note 2 3 3 3 2 2 3" xfId="17220"/>
    <cellStyle name="Note 2 3 3 3 2 2 4" xfId="21094"/>
    <cellStyle name="Note 2 3 3 3 2 3" xfId="17221"/>
    <cellStyle name="Note 2 3 3 3 2 3 2" xfId="17222"/>
    <cellStyle name="Note 2 3 3 3 2 3 3" xfId="22387"/>
    <cellStyle name="Note 2 3 3 3 2 4" xfId="17223"/>
    <cellStyle name="Note 2 3 3 3 2 5" xfId="19800"/>
    <cellStyle name="Note 2 3 3 3 3" xfId="17224"/>
    <cellStyle name="Note 2 3 3 3 3 2" xfId="17225"/>
    <cellStyle name="Note 2 3 3 3 3 2 2" xfId="17226"/>
    <cellStyle name="Note 2 3 3 3 3 2 3" xfId="23032"/>
    <cellStyle name="Note 2 3 3 3 3 3" xfId="17227"/>
    <cellStyle name="Note 2 3 3 3 3 4" xfId="20449"/>
    <cellStyle name="Note 2 3 3 3 4" xfId="17228"/>
    <cellStyle name="Note 2 3 3 3 4 2" xfId="17229"/>
    <cellStyle name="Note 2 3 3 3 4 3" xfId="21742"/>
    <cellStyle name="Note 2 3 3 3 5" xfId="17230"/>
    <cellStyle name="Note 2 3 3 3 6" xfId="19152"/>
    <cellStyle name="Note 2 3 3 4" xfId="17231"/>
    <cellStyle name="Note 2 3 3 4 2" xfId="17232"/>
    <cellStyle name="Note 2 3 3 4 2 2" xfId="17233"/>
    <cellStyle name="Note 2 3 3 4 2 2 2" xfId="17234"/>
    <cellStyle name="Note 2 3 3 4 2 2 3" xfId="23355"/>
    <cellStyle name="Note 2 3 3 4 2 3" xfId="17235"/>
    <cellStyle name="Note 2 3 3 4 2 4" xfId="20772"/>
    <cellStyle name="Note 2 3 3 4 3" xfId="17236"/>
    <cellStyle name="Note 2 3 3 4 3 2" xfId="17237"/>
    <cellStyle name="Note 2 3 3 4 3 3" xfId="22065"/>
    <cellStyle name="Note 2 3 3 4 4" xfId="17238"/>
    <cellStyle name="Note 2 3 3 4 5" xfId="19478"/>
    <cellStyle name="Note 2 3 3 5" xfId="17239"/>
    <cellStyle name="Note 2 3 3 5 2" xfId="17240"/>
    <cellStyle name="Note 2 3 3 5 2 2" xfId="17241"/>
    <cellStyle name="Note 2 3 3 5 2 3" xfId="22710"/>
    <cellStyle name="Note 2 3 3 5 3" xfId="17242"/>
    <cellStyle name="Note 2 3 3 5 4" xfId="20127"/>
    <cellStyle name="Note 2 3 3 6" xfId="17243"/>
    <cellStyle name="Note 2 3 3 6 2" xfId="17244"/>
    <cellStyle name="Note 2 3 3 6 3" xfId="21420"/>
    <cellStyle name="Note 2 3 3 7" xfId="17245"/>
    <cellStyle name="Note 2 3 3 8" xfId="18821"/>
    <cellStyle name="Note 2 3 4" xfId="17246"/>
    <cellStyle name="Note 2 3 4 2" xfId="17247"/>
    <cellStyle name="Note 2 3 4 2 2" xfId="17248"/>
    <cellStyle name="Note 2 3 4 2 2 2" xfId="17249"/>
    <cellStyle name="Note 2 3 4 2 2 2 2" xfId="17250"/>
    <cellStyle name="Note 2 3 4 2 2 2 2 2" xfId="17251"/>
    <cellStyle name="Note 2 3 4 2 2 2 2 3" xfId="23758"/>
    <cellStyle name="Note 2 3 4 2 2 2 3" xfId="17252"/>
    <cellStyle name="Note 2 3 4 2 2 2 4" xfId="21175"/>
    <cellStyle name="Note 2 3 4 2 2 3" xfId="17253"/>
    <cellStyle name="Note 2 3 4 2 2 3 2" xfId="17254"/>
    <cellStyle name="Note 2 3 4 2 2 3 3" xfId="22468"/>
    <cellStyle name="Note 2 3 4 2 2 4" xfId="17255"/>
    <cellStyle name="Note 2 3 4 2 2 5" xfId="19881"/>
    <cellStyle name="Note 2 3 4 2 3" xfId="17256"/>
    <cellStyle name="Note 2 3 4 2 3 2" xfId="17257"/>
    <cellStyle name="Note 2 3 4 2 3 2 2" xfId="17258"/>
    <cellStyle name="Note 2 3 4 2 3 2 3" xfId="23113"/>
    <cellStyle name="Note 2 3 4 2 3 3" xfId="17259"/>
    <cellStyle name="Note 2 3 4 2 3 4" xfId="20530"/>
    <cellStyle name="Note 2 3 4 2 4" xfId="17260"/>
    <cellStyle name="Note 2 3 4 2 4 2" xfId="17261"/>
    <cellStyle name="Note 2 3 4 2 4 3" xfId="21823"/>
    <cellStyle name="Note 2 3 4 2 5" xfId="17262"/>
    <cellStyle name="Note 2 3 4 2 6" xfId="19233"/>
    <cellStyle name="Note 2 3 4 3" xfId="17263"/>
    <cellStyle name="Note 2 3 4 3 2" xfId="17264"/>
    <cellStyle name="Note 2 3 4 3 2 2" xfId="17265"/>
    <cellStyle name="Note 2 3 4 3 2 2 2" xfId="17266"/>
    <cellStyle name="Note 2 3 4 3 2 2 3" xfId="23436"/>
    <cellStyle name="Note 2 3 4 3 2 3" xfId="17267"/>
    <cellStyle name="Note 2 3 4 3 2 4" xfId="20853"/>
    <cellStyle name="Note 2 3 4 3 3" xfId="17268"/>
    <cellStyle name="Note 2 3 4 3 3 2" xfId="17269"/>
    <cellStyle name="Note 2 3 4 3 3 3" xfId="22146"/>
    <cellStyle name="Note 2 3 4 3 4" xfId="17270"/>
    <cellStyle name="Note 2 3 4 3 5" xfId="19559"/>
    <cellStyle name="Note 2 3 4 4" xfId="17271"/>
    <cellStyle name="Note 2 3 4 4 2" xfId="17272"/>
    <cellStyle name="Note 2 3 4 4 2 2" xfId="17273"/>
    <cellStyle name="Note 2 3 4 4 2 3" xfId="22791"/>
    <cellStyle name="Note 2 3 4 4 3" xfId="17274"/>
    <cellStyle name="Note 2 3 4 4 4" xfId="20208"/>
    <cellStyle name="Note 2 3 4 5" xfId="17275"/>
    <cellStyle name="Note 2 3 4 5 2" xfId="17276"/>
    <cellStyle name="Note 2 3 4 5 3" xfId="21501"/>
    <cellStyle name="Note 2 3 4 6" xfId="17277"/>
    <cellStyle name="Note 2 3 4 7" xfId="18907"/>
    <cellStyle name="Note 2 3 5" xfId="17278"/>
    <cellStyle name="Note 2 3 5 2" xfId="17279"/>
    <cellStyle name="Note 2 3 5 2 2" xfId="17280"/>
    <cellStyle name="Note 2 3 5 2 2 2" xfId="17281"/>
    <cellStyle name="Note 2 3 5 2 2 2 2" xfId="17282"/>
    <cellStyle name="Note 2 3 5 2 2 2 3" xfId="23597"/>
    <cellStyle name="Note 2 3 5 2 2 3" xfId="17283"/>
    <cellStyle name="Note 2 3 5 2 2 4" xfId="21014"/>
    <cellStyle name="Note 2 3 5 2 3" xfId="17284"/>
    <cellStyle name="Note 2 3 5 2 3 2" xfId="17285"/>
    <cellStyle name="Note 2 3 5 2 3 3" xfId="22307"/>
    <cellStyle name="Note 2 3 5 2 4" xfId="17286"/>
    <cellStyle name="Note 2 3 5 2 5" xfId="19720"/>
    <cellStyle name="Note 2 3 5 3" xfId="17287"/>
    <cellStyle name="Note 2 3 5 3 2" xfId="17288"/>
    <cellStyle name="Note 2 3 5 3 2 2" xfId="17289"/>
    <cellStyle name="Note 2 3 5 3 2 3" xfId="22952"/>
    <cellStyle name="Note 2 3 5 3 3" xfId="17290"/>
    <cellStyle name="Note 2 3 5 3 4" xfId="20369"/>
    <cellStyle name="Note 2 3 5 4" xfId="17291"/>
    <cellStyle name="Note 2 3 5 4 2" xfId="17292"/>
    <cellStyle name="Note 2 3 5 4 3" xfId="21662"/>
    <cellStyle name="Note 2 3 5 5" xfId="17293"/>
    <cellStyle name="Note 2 3 5 6" xfId="19072"/>
    <cellStyle name="Note 2 3 6" xfId="17294"/>
    <cellStyle name="Note 2 3 6 2" xfId="17295"/>
    <cellStyle name="Note 2 3 6 2 2" xfId="17296"/>
    <cellStyle name="Note 2 3 6 2 2 2" xfId="17297"/>
    <cellStyle name="Note 2 3 6 2 2 3" xfId="23274"/>
    <cellStyle name="Note 2 3 6 2 3" xfId="17298"/>
    <cellStyle name="Note 2 3 6 2 4" xfId="20691"/>
    <cellStyle name="Note 2 3 6 3" xfId="17299"/>
    <cellStyle name="Note 2 3 6 3 2" xfId="17300"/>
    <cellStyle name="Note 2 3 6 3 3" xfId="21984"/>
    <cellStyle name="Note 2 3 6 4" xfId="17301"/>
    <cellStyle name="Note 2 3 6 5" xfId="19398"/>
    <cellStyle name="Note 2 3 7" xfId="17302"/>
    <cellStyle name="Note 2 3 7 2" xfId="17303"/>
    <cellStyle name="Note 2 3 7 2 2" xfId="17304"/>
    <cellStyle name="Note 2 3 7 2 3" xfId="22629"/>
    <cellStyle name="Note 2 3 7 3" xfId="17305"/>
    <cellStyle name="Note 2 3 7 4" xfId="20046"/>
    <cellStyle name="Note 2 3 8" xfId="17306"/>
    <cellStyle name="Note 2 3 8 2" xfId="17307"/>
    <cellStyle name="Note 2 3 8 3" xfId="21339"/>
    <cellStyle name="Note 2 3 9" xfId="17308"/>
    <cellStyle name="Note 2 4" xfId="17309"/>
    <cellStyle name="Note 2 4 2" xfId="17310"/>
    <cellStyle name="Note 2 4 2 2" xfId="17311"/>
    <cellStyle name="Note 2 4 2 2 2" xfId="17312"/>
    <cellStyle name="Note 2 4 2 2 2 2" xfId="17313"/>
    <cellStyle name="Note 2 4 2 2 2 2 2" xfId="17314"/>
    <cellStyle name="Note 2 4 2 2 2 2 2 2" xfId="17315"/>
    <cellStyle name="Note 2 4 2 2 2 2 2 2 2" xfId="17316"/>
    <cellStyle name="Note 2 4 2 2 2 2 2 2 3" xfId="23858"/>
    <cellStyle name="Note 2 4 2 2 2 2 2 3" xfId="17317"/>
    <cellStyle name="Note 2 4 2 2 2 2 2 4" xfId="21275"/>
    <cellStyle name="Note 2 4 2 2 2 2 3" xfId="17318"/>
    <cellStyle name="Note 2 4 2 2 2 2 3 2" xfId="17319"/>
    <cellStyle name="Note 2 4 2 2 2 2 3 3" xfId="22568"/>
    <cellStyle name="Note 2 4 2 2 2 2 4" xfId="17320"/>
    <cellStyle name="Note 2 4 2 2 2 2 5" xfId="19981"/>
    <cellStyle name="Note 2 4 2 2 2 3" xfId="17321"/>
    <cellStyle name="Note 2 4 2 2 2 3 2" xfId="17322"/>
    <cellStyle name="Note 2 4 2 2 2 3 2 2" xfId="17323"/>
    <cellStyle name="Note 2 4 2 2 2 3 2 3" xfId="23213"/>
    <cellStyle name="Note 2 4 2 2 2 3 3" xfId="17324"/>
    <cellStyle name="Note 2 4 2 2 2 3 4" xfId="20630"/>
    <cellStyle name="Note 2 4 2 2 2 4" xfId="17325"/>
    <cellStyle name="Note 2 4 2 2 2 4 2" xfId="17326"/>
    <cellStyle name="Note 2 4 2 2 2 4 3" xfId="21923"/>
    <cellStyle name="Note 2 4 2 2 2 5" xfId="17327"/>
    <cellStyle name="Note 2 4 2 2 2 6" xfId="19333"/>
    <cellStyle name="Note 2 4 2 2 3" xfId="17328"/>
    <cellStyle name="Note 2 4 2 2 3 2" xfId="17329"/>
    <cellStyle name="Note 2 4 2 2 3 2 2" xfId="17330"/>
    <cellStyle name="Note 2 4 2 2 3 2 2 2" xfId="17331"/>
    <cellStyle name="Note 2 4 2 2 3 2 2 3" xfId="23536"/>
    <cellStyle name="Note 2 4 2 2 3 2 3" xfId="17332"/>
    <cellStyle name="Note 2 4 2 2 3 2 4" xfId="20953"/>
    <cellStyle name="Note 2 4 2 2 3 3" xfId="17333"/>
    <cellStyle name="Note 2 4 2 2 3 3 2" xfId="17334"/>
    <cellStyle name="Note 2 4 2 2 3 3 3" xfId="22246"/>
    <cellStyle name="Note 2 4 2 2 3 4" xfId="17335"/>
    <cellStyle name="Note 2 4 2 2 3 5" xfId="19659"/>
    <cellStyle name="Note 2 4 2 2 4" xfId="17336"/>
    <cellStyle name="Note 2 4 2 2 4 2" xfId="17337"/>
    <cellStyle name="Note 2 4 2 2 4 2 2" xfId="17338"/>
    <cellStyle name="Note 2 4 2 2 4 2 3" xfId="22891"/>
    <cellStyle name="Note 2 4 2 2 4 3" xfId="17339"/>
    <cellStyle name="Note 2 4 2 2 4 4" xfId="20308"/>
    <cellStyle name="Note 2 4 2 2 5" xfId="17340"/>
    <cellStyle name="Note 2 4 2 2 5 2" xfId="17341"/>
    <cellStyle name="Note 2 4 2 2 5 3" xfId="21601"/>
    <cellStyle name="Note 2 4 2 2 6" xfId="17342"/>
    <cellStyle name="Note 2 4 2 2 7" xfId="19007"/>
    <cellStyle name="Note 2 4 2 3" xfId="17343"/>
    <cellStyle name="Note 2 4 2 3 2" xfId="17344"/>
    <cellStyle name="Note 2 4 2 3 2 2" xfId="17345"/>
    <cellStyle name="Note 2 4 2 3 2 2 2" xfId="17346"/>
    <cellStyle name="Note 2 4 2 3 2 2 2 2" xfId="17347"/>
    <cellStyle name="Note 2 4 2 3 2 2 2 3" xfId="23697"/>
    <cellStyle name="Note 2 4 2 3 2 2 3" xfId="17348"/>
    <cellStyle name="Note 2 4 2 3 2 2 4" xfId="21114"/>
    <cellStyle name="Note 2 4 2 3 2 3" xfId="17349"/>
    <cellStyle name="Note 2 4 2 3 2 3 2" xfId="17350"/>
    <cellStyle name="Note 2 4 2 3 2 3 3" xfId="22407"/>
    <cellStyle name="Note 2 4 2 3 2 4" xfId="17351"/>
    <cellStyle name="Note 2 4 2 3 2 5" xfId="19820"/>
    <cellStyle name="Note 2 4 2 3 3" xfId="17352"/>
    <cellStyle name="Note 2 4 2 3 3 2" xfId="17353"/>
    <cellStyle name="Note 2 4 2 3 3 2 2" xfId="17354"/>
    <cellStyle name="Note 2 4 2 3 3 2 3" xfId="23052"/>
    <cellStyle name="Note 2 4 2 3 3 3" xfId="17355"/>
    <cellStyle name="Note 2 4 2 3 3 4" xfId="20469"/>
    <cellStyle name="Note 2 4 2 3 4" xfId="17356"/>
    <cellStyle name="Note 2 4 2 3 4 2" xfId="17357"/>
    <cellStyle name="Note 2 4 2 3 4 3" xfId="21762"/>
    <cellStyle name="Note 2 4 2 3 5" xfId="17358"/>
    <cellStyle name="Note 2 4 2 3 6" xfId="19172"/>
    <cellStyle name="Note 2 4 2 4" xfId="17359"/>
    <cellStyle name="Note 2 4 2 4 2" xfId="17360"/>
    <cellStyle name="Note 2 4 2 4 2 2" xfId="17361"/>
    <cellStyle name="Note 2 4 2 4 2 2 2" xfId="17362"/>
    <cellStyle name="Note 2 4 2 4 2 2 3" xfId="23375"/>
    <cellStyle name="Note 2 4 2 4 2 3" xfId="17363"/>
    <cellStyle name="Note 2 4 2 4 2 4" xfId="20792"/>
    <cellStyle name="Note 2 4 2 4 3" xfId="17364"/>
    <cellStyle name="Note 2 4 2 4 3 2" xfId="17365"/>
    <cellStyle name="Note 2 4 2 4 3 3" xfId="22085"/>
    <cellStyle name="Note 2 4 2 4 4" xfId="17366"/>
    <cellStyle name="Note 2 4 2 4 5" xfId="19498"/>
    <cellStyle name="Note 2 4 2 5" xfId="17367"/>
    <cellStyle name="Note 2 4 2 5 2" xfId="17368"/>
    <cellStyle name="Note 2 4 2 5 2 2" xfId="17369"/>
    <cellStyle name="Note 2 4 2 5 2 3" xfId="22730"/>
    <cellStyle name="Note 2 4 2 5 3" xfId="17370"/>
    <cellStyle name="Note 2 4 2 5 4" xfId="20147"/>
    <cellStyle name="Note 2 4 2 6" xfId="17371"/>
    <cellStyle name="Note 2 4 2 6 2" xfId="17372"/>
    <cellStyle name="Note 2 4 2 6 3" xfId="21440"/>
    <cellStyle name="Note 2 4 2 7" xfId="17373"/>
    <cellStyle name="Note 2 4 2 8" xfId="18842"/>
    <cellStyle name="Note 2 4 3" xfId="17374"/>
    <cellStyle name="Note 2 4 3 2" xfId="17375"/>
    <cellStyle name="Note 2 4 3 2 2" xfId="17376"/>
    <cellStyle name="Note 2 4 3 2 2 2" xfId="17377"/>
    <cellStyle name="Note 2 4 3 2 2 2 2" xfId="17378"/>
    <cellStyle name="Note 2 4 3 2 2 2 2 2" xfId="17379"/>
    <cellStyle name="Note 2 4 3 2 2 2 2 3" xfId="23778"/>
    <cellStyle name="Note 2 4 3 2 2 2 3" xfId="17380"/>
    <cellStyle name="Note 2 4 3 2 2 2 4" xfId="21195"/>
    <cellStyle name="Note 2 4 3 2 2 3" xfId="17381"/>
    <cellStyle name="Note 2 4 3 2 2 3 2" xfId="17382"/>
    <cellStyle name="Note 2 4 3 2 2 3 3" xfId="22488"/>
    <cellStyle name="Note 2 4 3 2 2 4" xfId="17383"/>
    <cellStyle name="Note 2 4 3 2 2 5" xfId="19901"/>
    <cellStyle name="Note 2 4 3 2 3" xfId="17384"/>
    <cellStyle name="Note 2 4 3 2 3 2" xfId="17385"/>
    <cellStyle name="Note 2 4 3 2 3 2 2" xfId="17386"/>
    <cellStyle name="Note 2 4 3 2 3 2 3" xfId="23133"/>
    <cellStyle name="Note 2 4 3 2 3 3" xfId="17387"/>
    <cellStyle name="Note 2 4 3 2 3 4" xfId="20550"/>
    <cellStyle name="Note 2 4 3 2 4" xfId="17388"/>
    <cellStyle name="Note 2 4 3 2 4 2" xfId="17389"/>
    <cellStyle name="Note 2 4 3 2 4 3" xfId="21843"/>
    <cellStyle name="Note 2 4 3 2 5" xfId="17390"/>
    <cellStyle name="Note 2 4 3 2 6" xfId="19253"/>
    <cellStyle name="Note 2 4 3 3" xfId="17391"/>
    <cellStyle name="Note 2 4 3 3 2" xfId="17392"/>
    <cellStyle name="Note 2 4 3 3 2 2" xfId="17393"/>
    <cellStyle name="Note 2 4 3 3 2 2 2" xfId="17394"/>
    <cellStyle name="Note 2 4 3 3 2 2 3" xfId="23456"/>
    <cellStyle name="Note 2 4 3 3 2 3" xfId="17395"/>
    <cellStyle name="Note 2 4 3 3 2 4" xfId="20873"/>
    <cellStyle name="Note 2 4 3 3 3" xfId="17396"/>
    <cellStyle name="Note 2 4 3 3 3 2" xfId="17397"/>
    <cellStyle name="Note 2 4 3 3 3 3" xfId="22166"/>
    <cellStyle name="Note 2 4 3 3 4" xfId="17398"/>
    <cellStyle name="Note 2 4 3 3 5" xfId="19579"/>
    <cellStyle name="Note 2 4 3 4" xfId="17399"/>
    <cellStyle name="Note 2 4 3 4 2" xfId="17400"/>
    <cellStyle name="Note 2 4 3 4 2 2" xfId="17401"/>
    <cellStyle name="Note 2 4 3 4 2 3" xfId="22811"/>
    <cellStyle name="Note 2 4 3 4 3" xfId="17402"/>
    <cellStyle name="Note 2 4 3 4 4" xfId="20228"/>
    <cellStyle name="Note 2 4 3 5" xfId="17403"/>
    <cellStyle name="Note 2 4 3 5 2" xfId="17404"/>
    <cellStyle name="Note 2 4 3 5 3" xfId="21521"/>
    <cellStyle name="Note 2 4 3 6" xfId="17405"/>
    <cellStyle name="Note 2 4 3 7" xfId="18927"/>
    <cellStyle name="Note 2 4 4" xfId="17406"/>
    <cellStyle name="Note 2 4 4 2" xfId="17407"/>
    <cellStyle name="Note 2 4 4 2 2" xfId="17408"/>
    <cellStyle name="Note 2 4 4 2 2 2" xfId="17409"/>
    <cellStyle name="Note 2 4 4 2 2 2 2" xfId="17410"/>
    <cellStyle name="Note 2 4 4 2 2 2 3" xfId="23617"/>
    <cellStyle name="Note 2 4 4 2 2 3" xfId="17411"/>
    <cellStyle name="Note 2 4 4 2 2 4" xfId="21034"/>
    <cellStyle name="Note 2 4 4 2 3" xfId="17412"/>
    <cellStyle name="Note 2 4 4 2 3 2" xfId="17413"/>
    <cellStyle name="Note 2 4 4 2 3 3" xfId="22327"/>
    <cellStyle name="Note 2 4 4 2 4" xfId="17414"/>
    <cellStyle name="Note 2 4 4 2 5" xfId="19740"/>
    <cellStyle name="Note 2 4 4 3" xfId="17415"/>
    <cellStyle name="Note 2 4 4 3 2" xfId="17416"/>
    <cellStyle name="Note 2 4 4 3 2 2" xfId="17417"/>
    <cellStyle name="Note 2 4 4 3 2 3" xfId="22972"/>
    <cellStyle name="Note 2 4 4 3 3" xfId="17418"/>
    <cellStyle name="Note 2 4 4 3 4" xfId="20389"/>
    <cellStyle name="Note 2 4 4 4" xfId="17419"/>
    <cellStyle name="Note 2 4 4 4 2" xfId="17420"/>
    <cellStyle name="Note 2 4 4 4 3" xfId="21682"/>
    <cellStyle name="Note 2 4 4 5" xfId="17421"/>
    <cellStyle name="Note 2 4 4 6" xfId="19092"/>
    <cellStyle name="Note 2 4 5" xfId="17422"/>
    <cellStyle name="Note 2 4 5 2" xfId="17423"/>
    <cellStyle name="Note 2 4 5 2 2" xfId="17424"/>
    <cellStyle name="Note 2 4 5 2 2 2" xfId="17425"/>
    <cellStyle name="Note 2 4 5 2 2 3" xfId="23294"/>
    <cellStyle name="Note 2 4 5 2 3" xfId="17426"/>
    <cellStyle name="Note 2 4 5 2 4" xfId="20711"/>
    <cellStyle name="Note 2 4 5 3" xfId="17427"/>
    <cellStyle name="Note 2 4 5 3 2" xfId="17428"/>
    <cellStyle name="Note 2 4 5 3 3" xfId="22004"/>
    <cellStyle name="Note 2 4 5 4" xfId="17429"/>
    <cellStyle name="Note 2 4 5 5" xfId="19418"/>
    <cellStyle name="Note 2 4 6" xfId="17430"/>
    <cellStyle name="Note 2 4 6 2" xfId="17431"/>
    <cellStyle name="Note 2 4 6 2 2" xfId="17432"/>
    <cellStyle name="Note 2 4 6 2 3" xfId="22649"/>
    <cellStyle name="Note 2 4 6 3" xfId="17433"/>
    <cellStyle name="Note 2 4 6 4" xfId="20066"/>
    <cellStyle name="Note 2 4 7" xfId="17434"/>
    <cellStyle name="Note 2 4 7 2" xfId="17435"/>
    <cellStyle name="Note 2 4 7 3" xfId="21359"/>
    <cellStyle name="Note 2 4 8" xfId="17436"/>
    <cellStyle name="Note 2 4 9" xfId="18745"/>
    <cellStyle name="Note 2 5" xfId="17437"/>
    <cellStyle name="Note 2 5 2" xfId="17438"/>
    <cellStyle name="Note 2 5 2 2" xfId="17439"/>
    <cellStyle name="Note 2 5 2 2 2" xfId="17440"/>
    <cellStyle name="Note 2 5 2 2 2 2" xfId="17441"/>
    <cellStyle name="Note 2 5 2 2 2 2 2" xfId="17442"/>
    <cellStyle name="Note 2 5 2 2 2 2 2 2" xfId="17443"/>
    <cellStyle name="Note 2 5 2 2 2 2 2 3" xfId="23818"/>
    <cellStyle name="Note 2 5 2 2 2 2 3" xfId="17444"/>
    <cellStyle name="Note 2 5 2 2 2 2 4" xfId="21235"/>
    <cellStyle name="Note 2 5 2 2 2 3" xfId="17445"/>
    <cellStyle name="Note 2 5 2 2 2 3 2" xfId="17446"/>
    <cellStyle name="Note 2 5 2 2 2 3 3" xfId="22528"/>
    <cellStyle name="Note 2 5 2 2 2 4" xfId="17447"/>
    <cellStyle name="Note 2 5 2 2 2 5" xfId="19941"/>
    <cellStyle name="Note 2 5 2 2 3" xfId="17448"/>
    <cellStyle name="Note 2 5 2 2 3 2" xfId="17449"/>
    <cellStyle name="Note 2 5 2 2 3 2 2" xfId="17450"/>
    <cellStyle name="Note 2 5 2 2 3 2 3" xfId="23173"/>
    <cellStyle name="Note 2 5 2 2 3 3" xfId="17451"/>
    <cellStyle name="Note 2 5 2 2 3 4" xfId="20590"/>
    <cellStyle name="Note 2 5 2 2 4" xfId="17452"/>
    <cellStyle name="Note 2 5 2 2 4 2" xfId="17453"/>
    <cellStyle name="Note 2 5 2 2 4 3" xfId="21883"/>
    <cellStyle name="Note 2 5 2 2 5" xfId="17454"/>
    <cellStyle name="Note 2 5 2 2 6" xfId="19293"/>
    <cellStyle name="Note 2 5 2 3" xfId="17455"/>
    <cellStyle name="Note 2 5 2 3 2" xfId="17456"/>
    <cellStyle name="Note 2 5 2 3 2 2" xfId="17457"/>
    <cellStyle name="Note 2 5 2 3 2 2 2" xfId="17458"/>
    <cellStyle name="Note 2 5 2 3 2 2 3" xfId="23496"/>
    <cellStyle name="Note 2 5 2 3 2 3" xfId="17459"/>
    <cellStyle name="Note 2 5 2 3 2 4" xfId="20913"/>
    <cellStyle name="Note 2 5 2 3 3" xfId="17460"/>
    <cellStyle name="Note 2 5 2 3 3 2" xfId="17461"/>
    <cellStyle name="Note 2 5 2 3 3 3" xfId="22206"/>
    <cellStyle name="Note 2 5 2 3 4" xfId="17462"/>
    <cellStyle name="Note 2 5 2 3 5" xfId="19619"/>
    <cellStyle name="Note 2 5 2 4" xfId="17463"/>
    <cellStyle name="Note 2 5 2 4 2" xfId="17464"/>
    <cellStyle name="Note 2 5 2 4 2 2" xfId="17465"/>
    <cellStyle name="Note 2 5 2 4 2 3" xfId="22851"/>
    <cellStyle name="Note 2 5 2 4 3" xfId="17466"/>
    <cellStyle name="Note 2 5 2 4 4" xfId="20268"/>
    <cellStyle name="Note 2 5 2 5" xfId="17467"/>
    <cellStyle name="Note 2 5 2 5 2" xfId="17468"/>
    <cellStyle name="Note 2 5 2 5 3" xfId="21561"/>
    <cellStyle name="Note 2 5 2 6" xfId="17469"/>
    <cellStyle name="Note 2 5 2 7" xfId="18967"/>
    <cellStyle name="Note 2 5 3" xfId="17470"/>
    <cellStyle name="Note 2 5 3 2" xfId="17471"/>
    <cellStyle name="Note 2 5 3 2 2" xfId="17472"/>
    <cellStyle name="Note 2 5 3 2 2 2" xfId="17473"/>
    <cellStyle name="Note 2 5 3 2 2 2 2" xfId="17474"/>
    <cellStyle name="Note 2 5 3 2 2 2 3" xfId="23657"/>
    <cellStyle name="Note 2 5 3 2 2 3" xfId="17475"/>
    <cellStyle name="Note 2 5 3 2 2 4" xfId="21074"/>
    <cellStyle name="Note 2 5 3 2 3" xfId="17476"/>
    <cellStyle name="Note 2 5 3 2 3 2" xfId="17477"/>
    <cellStyle name="Note 2 5 3 2 3 3" xfId="22367"/>
    <cellStyle name="Note 2 5 3 2 4" xfId="17478"/>
    <cellStyle name="Note 2 5 3 2 5" xfId="19780"/>
    <cellStyle name="Note 2 5 3 3" xfId="17479"/>
    <cellStyle name="Note 2 5 3 3 2" xfId="17480"/>
    <cellStyle name="Note 2 5 3 3 2 2" xfId="17481"/>
    <cellStyle name="Note 2 5 3 3 2 3" xfId="23012"/>
    <cellStyle name="Note 2 5 3 3 3" xfId="17482"/>
    <cellStyle name="Note 2 5 3 3 4" xfId="20429"/>
    <cellStyle name="Note 2 5 3 4" xfId="17483"/>
    <cellStyle name="Note 2 5 3 4 2" xfId="17484"/>
    <cellStyle name="Note 2 5 3 4 3" xfId="21722"/>
    <cellStyle name="Note 2 5 3 5" xfId="17485"/>
    <cellStyle name="Note 2 5 3 6" xfId="19132"/>
    <cellStyle name="Note 2 5 4" xfId="17486"/>
    <cellStyle name="Note 2 5 4 2" xfId="17487"/>
    <cellStyle name="Note 2 5 4 2 2" xfId="17488"/>
    <cellStyle name="Note 2 5 4 2 2 2" xfId="17489"/>
    <cellStyle name="Note 2 5 4 2 2 3" xfId="23335"/>
    <cellStyle name="Note 2 5 4 2 3" xfId="17490"/>
    <cellStyle name="Note 2 5 4 2 4" xfId="20752"/>
    <cellStyle name="Note 2 5 4 3" xfId="17491"/>
    <cellStyle name="Note 2 5 4 3 2" xfId="17492"/>
    <cellStyle name="Note 2 5 4 3 3" xfId="22045"/>
    <cellStyle name="Note 2 5 4 4" xfId="17493"/>
    <cellStyle name="Note 2 5 4 5" xfId="19458"/>
    <cellStyle name="Note 2 5 5" xfId="17494"/>
    <cellStyle name="Note 2 5 5 2" xfId="17495"/>
    <cellStyle name="Note 2 5 5 2 2" xfId="17496"/>
    <cellStyle name="Note 2 5 5 2 3" xfId="22690"/>
    <cellStyle name="Note 2 5 5 3" xfId="17497"/>
    <cellStyle name="Note 2 5 5 4" xfId="20107"/>
    <cellStyle name="Note 2 5 6" xfId="17498"/>
    <cellStyle name="Note 2 5 6 2" xfId="17499"/>
    <cellStyle name="Note 2 5 6 3" xfId="21400"/>
    <cellStyle name="Note 2 5 7" xfId="17500"/>
    <cellStyle name="Note 2 5 8" xfId="18795"/>
    <cellStyle name="Note 2 6" xfId="17501"/>
    <cellStyle name="Note 2 6 2" xfId="17502"/>
    <cellStyle name="Note 2 6 2 2" xfId="17503"/>
    <cellStyle name="Note 2 6 2 2 2" xfId="17504"/>
    <cellStyle name="Note 2 6 2 2 2 2" xfId="17505"/>
    <cellStyle name="Note 2 6 2 2 2 2 2" xfId="17506"/>
    <cellStyle name="Note 2 6 2 2 2 2 3" xfId="23738"/>
    <cellStyle name="Note 2 6 2 2 2 3" xfId="17507"/>
    <cellStyle name="Note 2 6 2 2 2 4" xfId="21155"/>
    <cellStyle name="Note 2 6 2 2 3" xfId="17508"/>
    <cellStyle name="Note 2 6 2 2 3 2" xfId="17509"/>
    <cellStyle name="Note 2 6 2 2 3 3" xfId="22448"/>
    <cellStyle name="Note 2 6 2 2 4" xfId="17510"/>
    <cellStyle name="Note 2 6 2 2 5" xfId="19861"/>
    <cellStyle name="Note 2 6 2 3" xfId="17511"/>
    <cellStyle name="Note 2 6 2 3 2" xfId="17512"/>
    <cellStyle name="Note 2 6 2 3 2 2" xfId="17513"/>
    <cellStyle name="Note 2 6 2 3 2 3" xfId="23093"/>
    <cellStyle name="Note 2 6 2 3 3" xfId="17514"/>
    <cellStyle name="Note 2 6 2 3 4" xfId="20510"/>
    <cellStyle name="Note 2 6 2 4" xfId="17515"/>
    <cellStyle name="Note 2 6 2 4 2" xfId="17516"/>
    <cellStyle name="Note 2 6 2 4 3" xfId="21803"/>
    <cellStyle name="Note 2 6 2 5" xfId="17517"/>
    <cellStyle name="Note 2 6 2 6" xfId="19213"/>
    <cellStyle name="Note 2 6 3" xfId="17518"/>
    <cellStyle name="Note 2 6 3 2" xfId="17519"/>
    <cellStyle name="Note 2 6 3 2 2" xfId="17520"/>
    <cellStyle name="Note 2 6 3 2 2 2" xfId="17521"/>
    <cellStyle name="Note 2 6 3 2 2 3" xfId="23416"/>
    <cellStyle name="Note 2 6 3 2 3" xfId="17522"/>
    <cellStyle name="Note 2 6 3 2 4" xfId="20833"/>
    <cellStyle name="Note 2 6 3 3" xfId="17523"/>
    <cellStyle name="Note 2 6 3 3 2" xfId="17524"/>
    <cellStyle name="Note 2 6 3 3 3" xfId="22126"/>
    <cellStyle name="Note 2 6 3 4" xfId="17525"/>
    <cellStyle name="Note 2 6 3 5" xfId="19539"/>
    <cellStyle name="Note 2 6 4" xfId="17526"/>
    <cellStyle name="Note 2 6 4 2" xfId="17527"/>
    <cellStyle name="Note 2 6 4 2 2" xfId="17528"/>
    <cellStyle name="Note 2 6 4 2 3" xfId="22771"/>
    <cellStyle name="Note 2 6 4 3" xfId="17529"/>
    <cellStyle name="Note 2 6 4 4" xfId="20188"/>
    <cellStyle name="Note 2 6 5" xfId="17530"/>
    <cellStyle name="Note 2 6 5 2" xfId="17531"/>
    <cellStyle name="Note 2 6 5 3" xfId="21481"/>
    <cellStyle name="Note 2 6 6" xfId="17532"/>
    <cellStyle name="Note 2 6 7" xfId="18887"/>
    <cellStyle name="Note 2 7" xfId="17533"/>
    <cellStyle name="Note 2 7 2" xfId="17534"/>
    <cellStyle name="Note 2 7 2 2" xfId="17535"/>
    <cellStyle name="Note 2 7 2 2 2" xfId="17536"/>
    <cellStyle name="Note 2 7 2 2 2 2" xfId="17537"/>
    <cellStyle name="Note 2 7 2 2 2 3" xfId="23577"/>
    <cellStyle name="Note 2 7 2 2 3" xfId="17538"/>
    <cellStyle name="Note 2 7 2 2 4" xfId="20994"/>
    <cellStyle name="Note 2 7 2 3" xfId="17539"/>
    <cellStyle name="Note 2 7 2 3 2" xfId="17540"/>
    <cellStyle name="Note 2 7 2 3 3" xfId="22287"/>
    <cellStyle name="Note 2 7 2 4" xfId="17541"/>
    <cellStyle name="Note 2 7 2 5" xfId="19700"/>
    <cellStyle name="Note 2 7 3" xfId="17542"/>
    <cellStyle name="Note 2 7 3 2" xfId="17543"/>
    <cellStyle name="Note 2 7 3 2 2" xfId="17544"/>
    <cellStyle name="Note 2 7 3 2 3" xfId="22932"/>
    <cellStyle name="Note 2 7 3 3" xfId="17545"/>
    <cellStyle name="Note 2 7 3 4" xfId="20349"/>
    <cellStyle name="Note 2 7 4" xfId="17546"/>
    <cellStyle name="Note 2 7 4 2" xfId="17547"/>
    <cellStyle name="Note 2 7 4 3" xfId="21642"/>
    <cellStyle name="Note 2 7 5" xfId="17548"/>
    <cellStyle name="Note 2 7 6" xfId="19052"/>
    <cellStyle name="Note 2 8" xfId="17549"/>
    <cellStyle name="Note 2 8 2" xfId="17550"/>
    <cellStyle name="Note 2 8 2 2" xfId="17551"/>
    <cellStyle name="Note 2 8 2 2 2" xfId="17552"/>
    <cellStyle name="Note 2 8 2 2 3" xfId="23254"/>
    <cellStyle name="Note 2 8 2 3" xfId="17553"/>
    <cellStyle name="Note 2 8 2 4" xfId="20671"/>
    <cellStyle name="Note 2 8 3" xfId="17554"/>
    <cellStyle name="Note 2 8 3 2" xfId="17555"/>
    <cellStyle name="Note 2 8 3 3" xfId="21964"/>
    <cellStyle name="Note 2 8 4" xfId="17556"/>
    <cellStyle name="Note 2 8 5" xfId="19378"/>
    <cellStyle name="Note 2 9" xfId="17557"/>
    <cellStyle name="Note 2 9 2" xfId="17558"/>
    <cellStyle name="Note 2 9 2 2" xfId="17559"/>
    <cellStyle name="Note 2 9 2 3" xfId="22609"/>
    <cellStyle name="Note 2 9 3" xfId="17560"/>
    <cellStyle name="Note 2 9 4" xfId="20026"/>
    <cellStyle name="Note 3" xfId="17561"/>
    <cellStyle name="Note 3 10" xfId="17562"/>
    <cellStyle name="Note 3 11" xfId="18702"/>
    <cellStyle name="Note 3 2" xfId="17563"/>
    <cellStyle name="Note 3 2 10" xfId="18722"/>
    <cellStyle name="Note 3 2 2" xfId="17564"/>
    <cellStyle name="Note 3 2 2 2" xfId="17565"/>
    <cellStyle name="Note 3 2 2 2 2" xfId="17566"/>
    <cellStyle name="Note 3 2 2 2 2 2" xfId="17567"/>
    <cellStyle name="Note 3 2 2 2 2 2 2" xfId="17568"/>
    <cellStyle name="Note 3 2 2 2 2 2 2 2" xfId="17569"/>
    <cellStyle name="Note 3 2 2 2 2 2 2 2 2" xfId="17570"/>
    <cellStyle name="Note 3 2 2 2 2 2 2 2 2 2" xfId="17571"/>
    <cellStyle name="Note 3 2 2 2 2 2 2 2 2 3" xfId="23879"/>
    <cellStyle name="Note 3 2 2 2 2 2 2 2 3" xfId="17572"/>
    <cellStyle name="Note 3 2 2 2 2 2 2 2 4" xfId="21296"/>
    <cellStyle name="Note 3 2 2 2 2 2 2 3" xfId="17573"/>
    <cellStyle name="Note 3 2 2 2 2 2 2 3 2" xfId="17574"/>
    <cellStyle name="Note 3 2 2 2 2 2 2 3 3" xfId="22589"/>
    <cellStyle name="Note 3 2 2 2 2 2 2 4" xfId="17575"/>
    <cellStyle name="Note 3 2 2 2 2 2 2 5" xfId="20002"/>
    <cellStyle name="Note 3 2 2 2 2 2 3" xfId="17576"/>
    <cellStyle name="Note 3 2 2 2 2 2 3 2" xfId="17577"/>
    <cellStyle name="Note 3 2 2 2 2 2 3 2 2" xfId="17578"/>
    <cellStyle name="Note 3 2 2 2 2 2 3 2 3" xfId="23234"/>
    <cellStyle name="Note 3 2 2 2 2 2 3 3" xfId="17579"/>
    <cellStyle name="Note 3 2 2 2 2 2 3 4" xfId="20651"/>
    <cellStyle name="Note 3 2 2 2 2 2 4" xfId="17580"/>
    <cellStyle name="Note 3 2 2 2 2 2 4 2" xfId="17581"/>
    <cellStyle name="Note 3 2 2 2 2 2 4 3" xfId="21944"/>
    <cellStyle name="Note 3 2 2 2 2 2 5" xfId="17582"/>
    <cellStyle name="Note 3 2 2 2 2 2 6" xfId="19354"/>
    <cellStyle name="Note 3 2 2 2 2 3" xfId="17583"/>
    <cellStyle name="Note 3 2 2 2 2 3 2" xfId="17584"/>
    <cellStyle name="Note 3 2 2 2 2 3 2 2" xfId="17585"/>
    <cellStyle name="Note 3 2 2 2 2 3 2 2 2" xfId="17586"/>
    <cellStyle name="Note 3 2 2 2 2 3 2 2 3" xfId="23557"/>
    <cellStyle name="Note 3 2 2 2 2 3 2 3" xfId="17587"/>
    <cellStyle name="Note 3 2 2 2 2 3 2 4" xfId="20974"/>
    <cellStyle name="Note 3 2 2 2 2 3 3" xfId="17588"/>
    <cellStyle name="Note 3 2 2 2 2 3 3 2" xfId="17589"/>
    <cellStyle name="Note 3 2 2 2 2 3 3 3" xfId="22267"/>
    <cellStyle name="Note 3 2 2 2 2 3 4" xfId="17590"/>
    <cellStyle name="Note 3 2 2 2 2 3 5" xfId="19680"/>
    <cellStyle name="Note 3 2 2 2 2 4" xfId="17591"/>
    <cellStyle name="Note 3 2 2 2 2 4 2" xfId="17592"/>
    <cellStyle name="Note 3 2 2 2 2 4 2 2" xfId="17593"/>
    <cellStyle name="Note 3 2 2 2 2 4 2 3" xfId="22912"/>
    <cellStyle name="Note 3 2 2 2 2 4 3" xfId="17594"/>
    <cellStyle name="Note 3 2 2 2 2 4 4" xfId="20329"/>
    <cellStyle name="Note 3 2 2 2 2 5" xfId="17595"/>
    <cellStyle name="Note 3 2 2 2 2 5 2" xfId="17596"/>
    <cellStyle name="Note 3 2 2 2 2 5 3" xfId="21622"/>
    <cellStyle name="Note 3 2 2 2 2 6" xfId="17597"/>
    <cellStyle name="Note 3 2 2 2 2 7" xfId="19028"/>
    <cellStyle name="Note 3 2 2 2 3" xfId="17598"/>
    <cellStyle name="Note 3 2 2 2 3 2" xfId="17599"/>
    <cellStyle name="Note 3 2 2 2 3 2 2" xfId="17600"/>
    <cellStyle name="Note 3 2 2 2 3 2 2 2" xfId="17601"/>
    <cellStyle name="Note 3 2 2 2 3 2 2 2 2" xfId="17602"/>
    <cellStyle name="Note 3 2 2 2 3 2 2 2 3" xfId="23718"/>
    <cellStyle name="Note 3 2 2 2 3 2 2 3" xfId="17603"/>
    <cellStyle name="Note 3 2 2 2 3 2 2 4" xfId="21135"/>
    <cellStyle name="Note 3 2 2 2 3 2 3" xfId="17604"/>
    <cellStyle name="Note 3 2 2 2 3 2 3 2" xfId="17605"/>
    <cellStyle name="Note 3 2 2 2 3 2 3 3" xfId="22428"/>
    <cellStyle name="Note 3 2 2 2 3 2 4" xfId="17606"/>
    <cellStyle name="Note 3 2 2 2 3 2 5" xfId="19841"/>
    <cellStyle name="Note 3 2 2 2 3 3" xfId="17607"/>
    <cellStyle name="Note 3 2 2 2 3 3 2" xfId="17608"/>
    <cellStyle name="Note 3 2 2 2 3 3 2 2" xfId="17609"/>
    <cellStyle name="Note 3 2 2 2 3 3 2 3" xfId="23073"/>
    <cellStyle name="Note 3 2 2 2 3 3 3" xfId="17610"/>
    <cellStyle name="Note 3 2 2 2 3 3 4" xfId="20490"/>
    <cellStyle name="Note 3 2 2 2 3 4" xfId="17611"/>
    <cellStyle name="Note 3 2 2 2 3 4 2" xfId="17612"/>
    <cellStyle name="Note 3 2 2 2 3 4 3" xfId="21783"/>
    <cellStyle name="Note 3 2 2 2 3 5" xfId="17613"/>
    <cellStyle name="Note 3 2 2 2 3 6" xfId="19193"/>
    <cellStyle name="Note 3 2 2 2 4" xfId="17614"/>
    <cellStyle name="Note 3 2 2 2 4 2" xfId="17615"/>
    <cellStyle name="Note 3 2 2 2 4 2 2" xfId="17616"/>
    <cellStyle name="Note 3 2 2 2 4 2 2 2" xfId="17617"/>
    <cellStyle name="Note 3 2 2 2 4 2 2 3" xfId="23396"/>
    <cellStyle name="Note 3 2 2 2 4 2 3" xfId="17618"/>
    <cellStyle name="Note 3 2 2 2 4 2 4" xfId="20813"/>
    <cellStyle name="Note 3 2 2 2 4 3" xfId="17619"/>
    <cellStyle name="Note 3 2 2 2 4 3 2" xfId="17620"/>
    <cellStyle name="Note 3 2 2 2 4 3 3" xfId="22106"/>
    <cellStyle name="Note 3 2 2 2 4 4" xfId="17621"/>
    <cellStyle name="Note 3 2 2 2 4 5" xfId="19519"/>
    <cellStyle name="Note 3 2 2 2 5" xfId="17622"/>
    <cellStyle name="Note 3 2 2 2 5 2" xfId="17623"/>
    <cellStyle name="Note 3 2 2 2 5 2 2" xfId="17624"/>
    <cellStyle name="Note 3 2 2 2 5 2 3" xfId="22751"/>
    <cellStyle name="Note 3 2 2 2 5 3" xfId="17625"/>
    <cellStyle name="Note 3 2 2 2 5 4" xfId="20168"/>
    <cellStyle name="Note 3 2 2 2 6" xfId="17626"/>
    <cellStyle name="Note 3 2 2 2 6 2" xfId="17627"/>
    <cellStyle name="Note 3 2 2 2 6 3" xfId="21461"/>
    <cellStyle name="Note 3 2 2 2 7" xfId="17628"/>
    <cellStyle name="Note 3 2 2 2 8" xfId="18863"/>
    <cellStyle name="Note 3 2 2 3" xfId="17629"/>
    <cellStyle name="Note 3 2 2 3 2" xfId="17630"/>
    <cellStyle name="Note 3 2 2 3 2 2" xfId="17631"/>
    <cellStyle name="Note 3 2 2 3 2 2 2" xfId="17632"/>
    <cellStyle name="Note 3 2 2 3 2 2 2 2" xfId="17633"/>
    <cellStyle name="Note 3 2 2 3 2 2 2 2 2" xfId="17634"/>
    <cellStyle name="Note 3 2 2 3 2 2 2 2 3" xfId="23799"/>
    <cellStyle name="Note 3 2 2 3 2 2 2 3" xfId="17635"/>
    <cellStyle name="Note 3 2 2 3 2 2 2 4" xfId="21216"/>
    <cellStyle name="Note 3 2 2 3 2 2 3" xfId="17636"/>
    <cellStyle name="Note 3 2 2 3 2 2 3 2" xfId="17637"/>
    <cellStyle name="Note 3 2 2 3 2 2 3 3" xfId="22509"/>
    <cellStyle name="Note 3 2 2 3 2 2 4" xfId="17638"/>
    <cellStyle name="Note 3 2 2 3 2 2 5" xfId="19922"/>
    <cellStyle name="Note 3 2 2 3 2 3" xfId="17639"/>
    <cellStyle name="Note 3 2 2 3 2 3 2" xfId="17640"/>
    <cellStyle name="Note 3 2 2 3 2 3 2 2" xfId="17641"/>
    <cellStyle name="Note 3 2 2 3 2 3 2 3" xfId="23154"/>
    <cellStyle name="Note 3 2 2 3 2 3 3" xfId="17642"/>
    <cellStyle name="Note 3 2 2 3 2 3 4" xfId="20571"/>
    <cellStyle name="Note 3 2 2 3 2 4" xfId="17643"/>
    <cellStyle name="Note 3 2 2 3 2 4 2" xfId="17644"/>
    <cellStyle name="Note 3 2 2 3 2 4 3" xfId="21864"/>
    <cellStyle name="Note 3 2 2 3 2 5" xfId="17645"/>
    <cellStyle name="Note 3 2 2 3 2 6" xfId="19274"/>
    <cellStyle name="Note 3 2 2 3 3" xfId="17646"/>
    <cellStyle name="Note 3 2 2 3 3 2" xfId="17647"/>
    <cellStyle name="Note 3 2 2 3 3 2 2" xfId="17648"/>
    <cellStyle name="Note 3 2 2 3 3 2 2 2" xfId="17649"/>
    <cellStyle name="Note 3 2 2 3 3 2 2 3" xfId="23477"/>
    <cellStyle name="Note 3 2 2 3 3 2 3" xfId="17650"/>
    <cellStyle name="Note 3 2 2 3 3 2 4" xfId="20894"/>
    <cellStyle name="Note 3 2 2 3 3 3" xfId="17651"/>
    <cellStyle name="Note 3 2 2 3 3 3 2" xfId="17652"/>
    <cellStyle name="Note 3 2 2 3 3 3 3" xfId="22187"/>
    <cellStyle name="Note 3 2 2 3 3 4" xfId="17653"/>
    <cellStyle name="Note 3 2 2 3 3 5" xfId="19600"/>
    <cellStyle name="Note 3 2 2 3 4" xfId="17654"/>
    <cellStyle name="Note 3 2 2 3 4 2" xfId="17655"/>
    <cellStyle name="Note 3 2 2 3 4 2 2" xfId="17656"/>
    <cellStyle name="Note 3 2 2 3 4 2 3" xfId="22832"/>
    <cellStyle name="Note 3 2 2 3 4 3" xfId="17657"/>
    <cellStyle name="Note 3 2 2 3 4 4" xfId="20249"/>
    <cellStyle name="Note 3 2 2 3 5" xfId="17658"/>
    <cellStyle name="Note 3 2 2 3 5 2" xfId="17659"/>
    <cellStyle name="Note 3 2 2 3 5 3" xfId="21542"/>
    <cellStyle name="Note 3 2 2 3 6" xfId="17660"/>
    <cellStyle name="Note 3 2 2 3 7" xfId="18948"/>
    <cellStyle name="Note 3 2 2 4" xfId="17661"/>
    <cellStyle name="Note 3 2 2 4 2" xfId="17662"/>
    <cellStyle name="Note 3 2 2 4 2 2" xfId="17663"/>
    <cellStyle name="Note 3 2 2 4 2 2 2" xfId="17664"/>
    <cellStyle name="Note 3 2 2 4 2 2 2 2" xfId="17665"/>
    <cellStyle name="Note 3 2 2 4 2 2 2 3" xfId="23638"/>
    <cellStyle name="Note 3 2 2 4 2 2 3" xfId="17666"/>
    <cellStyle name="Note 3 2 2 4 2 2 4" xfId="21055"/>
    <cellStyle name="Note 3 2 2 4 2 3" xfId="17667"/>
    <cellStyle name="Note 3 2 2 4 2 3 2" xfId="17668"/>
    <cellStyle name="Note 3 2 2 4 2 3 3" xfId="22348"/>
    <cellStyle name="Note 3 2 2 4 2 4" xfId="17669"/>
    <cellStyle name="Note 3 2 2 4 2 5" xfId="19761"/>
    <cellStyle name="Note 3 2 2 4 3" xfId="17670"/>
    <cellStyle name="Note 3 2 2 4 3 2" xfId="17671"/>
    <cellStyle name="Note 3 2 2 4 3 2 2" xfId="17672"/>
    <cellStyle name="Note 3 2 2 4 3 2 3" xfId="22993"/>
    <cellStyle name="Note 3 2 2 4 3 3" xfId="17673"/>
    <cellStyle name="Note 3 2 2 4 3 4" xfId="20410"/>
    <cellStyle name="Note 3 2 2 4 4" xfId="17674"/>
    <cellStyle name="Note 3 2 2 4 4 2" xfId="17675"/>
    <cellStyle name="Note 3 2 2 4 4 3" xfId="21703"/>
    <cellStyle name="Note 3 2 2 4 5" xfId="17676"/>
    <cellStyle name="Note 3 2 2 4 6" xfId="19113"/>
    <cellStyle name="Note 3 2 2 5" xfId="17677"/>
    <cellStyle name="Note 3 2 2 5 2" xfId="17678"/>
    <cellStyle name="Note 3 2 2 5 2 2" xfId="17679"/>
    <cellStyle name="Note 3 2 2 5 2 2 2" xfId="17680"/>
    <cellStyle name="Note 3 2 2 5 2 2 3" xfId="23315"/>
    <cellStyle name="Note 3 2 2 5 2 3" xfId="17681"/>
    <cellStyle name="Note 3 2 2 5 2 4" xfId="20732"/>
    <cellStyle name="Note 3 2 2 5 3" xfId="17682"/>
    <cellStyle name="Note 3 2 2 5 3 2" xfId="17683"/>
    <cellStyle name="Note 3 2 2 5 3 3" xfId="22025"/>
    <cellStyle name="Note 3 2 2 5 4" xfId="17684"/>
    <cellStyle name="Note 3 2 2 5 5" xfId="19439"/>
    <cellStyle name="Note 3 2 2 6" xfId="17685"/>
    <cellStyle name="Note 3 2 2 6 2" xfId="17686"/>
    <cellStyle name="Note 3 2 2 6 2 2" xfId="17687"/>
    <cellStyle name="Note 3 2 2 6 2 3" xfId="22670"/>
    <cellStyle name="Note 3 2 2 6 3" xfId="17688"/>
    <cellStyle name="Note 3 2 2 6 4" xfId="20087"/>
    <cellStyle name="Note 3 2 2 7" xfId="17689"/>
    <cellStyle name="Note 3 2 2 7 2" xfId="17690"/>
    <cellStyle name="Note 3 2 2 7 3" xfId="21380"/>
    <cellStyle name="Note 3 2 2 8" xfId="17691"/>
    <cellStyle name="Note 3 2 2 9" xfId="18766"/>
    <cellStyle name="Note 3 2 3" xfId="17692"/>
    <cellStyle name="Note 3 2 3 2" xfId="17693"/>
    <cellStyle name="Note 3 2 3 2 2" xfId="17694"/>
    <cellStyle name="Note 3 2 3 2 2 2" xfId="17695"/>
    <cellStyle name="Note 3 2 3 2 2 2 2" xfId="17696"/>
    <cellStyle name="Note 3 2 3 2 2 2 2 2" xfId="17697"/>
    <cellStyle name="Note 3 2 3 2 2 2 2 2 2" xfId="17698"/>
    <cellStyle name="Note 3 2 3 2 2 2 2 2 3" xfId="23839"/>
    <cellStyle name="Note 3 2 3 2 2 2 2 3" xfId="17699"/>
    <cellStyle name="Note 3 2 3 2 2 2 2 4" xfId="21256"/>
    <cellStyle name="Note 3 2 3 2 2 2 3" xfId="17700"/>
    <cellStyle name="Note 3 2 3 2 2 2 3 2" xfId="17701"/>
    <cellStyle name="Note 3 2 3 2 2 2 3 3" xfId="22549"/>
    <cellStyle name="Note 3 2 3 2 2 2 4" xfId="17702"/>
    <cellStyle name="Note 3 2 3 2 2 2 5" xfId="19962"/>
    <cellStyle name="Note 3 2 3 2 2 3" xfId="17703"/>
    <cellStyle name="Note 3 2 3 2 2 3 2" xfId="17704"/>
    <cellStyle name="Note 3 2 3 2 2 3 2 2" xfId="17705"/>
    <cellStyle name="Note 3 2 3 2 2 3 2 3" xfId="23194"/>
    <cellStyle name="Note 3 2 3 2 2 3 3" xfId="17706"/>
    <cellStyle name="Note 3 2 3 2 2 3 4" xfId="20611"/>
    <cellStyle name="Note 3 2 3 2 2 4" xfId="17707"/>
    <cellStyle name="Note 3 2 3 2 2 4 2" xfId="17708"/>
    <cellStyle name="Note 3 2 3 2 2 4 3" xfId="21904"/>
    <cellStyle name="Note 3 2 3 2 2 5" xfId="17709"/>
    <cellStyle name="Note 3 2 3 2 2 6" xfId="19314"/>
    <cellStyle name="Note 3 2 3 2 3" xfId="17710"/>
    <cellStyle name="Note 3 2 3 2 3 2" xfId="17711"/>
    <cellStyle name="Note 3 2 3 2 3 2 2" xfId="17712"/>
    <cellStyle name="Note 3 2 3 2 3 2 2 2" xfId="17713"/>
    <cellStyle name="Note 3 2 3 2 3 2 2 3" xfId="23517"/>
    <cellStyle name="Note 3 2 3 2 3 2 3" xfId="17714"/>
    <cellStyle name="Note 3 2 3 2 3 2 4" xfId="20934"/>
    <cellStyle name="Note 3 2 3 2 3 3" xfId="17715"/>
    <cellStyle name="Note 3 2 3 2 3 3 2" xfId="17716"/>
    <cellStyle name="Note 3 2 3 2 3 3 3" xfId="22227"/>
    <cellStyle name="Note 3 2 3 2 3 4" xfId="17717"/>
    <cellStyle name="Note 3 2 3 2 3 5" xfId="19640"/>
    <cellStyle name="Note 3 2 3 2 4" xfId="17718"/>
    <cellStyle name="Note 3 2 3 2 4 2" xfId="17719"/>
    <cellStyle name="Note 3 2 3 2 4 2 2" xfId="17720"/>
    <cellStyle name="Note 3 2 3 2 4 2 3" xfId="22872"/>
    <cellStyle name="Note 3 2 3 2 4 3" xfId="17721"/>
    <cellStyle name="Note 3 2 3 2 4 4" xfId="20289"/>
    <cellStyle name="Note 3 2 3 2 5" xfId="17722"/>
    <cellStyle name="Note 3 2 3 2 5 2" xfId="17723"/>
    <cellStyle name="Note 3 2 3 2 5 3" xfId="21582"/>
    <cellStyle name="Note 3 2 3 2 6" xfId="17724"/>
    <cellStyle name="Note 3 2 3 2 7" xfId="18988"/>
    <cellStyle name="Note 3 2 3 3" xfId="17725"/>
    <cellStyle name="Note 3 2 3 3 2" xfId="17726"/>
    <cellStyle name="Note 3 2 3 3 2 2" xfId="17727"/>
    <cellStyle name="Note 3 2 3 3 2 2 2" xfId="17728"/>
    <cellStyle name="Note 3 2 3 3 2 2 2 2" xfId="17729"/>
    <cellStyle name="Note 3 2 3 3 2 2 2 3" xfId="23678"/>
    <cellStyle name="Note 3 2 3 3 2 2 3" xfId="17730"/>
    <cellStyle name="Note 3 2 3 3 2 2 4" xfId="21095"/>
    <cellStyle name="Note 3 2 3 3 2 3" xfId="17731"/>
    <cellStyle name="Note 3 2 3 3 2 3 2" xfId="17732"/>
    <cellStyle name="Note 3 2 3 3 2 3 3" xfId="22388"/>
    <cellStyle name="Note 3 2 3 3 2 4" xfId="17733"/>
    <cellStyle name="Note 3 2 3 3 2 5" xfId="19801"/>
    <cellStyle name="Note 3 2 3 3 3" xfId="17734"/>
    <cellStyle name="Note 3 2 3 3 3 2" xfId="17735"/>
    <cellStyle name="Note 3 2 3 3 3 2 2" xfId="17736"/>
    <cellStyle name="Note 3 2 3 3 3 2 3" xfId="23033"/>
    <cellStyle name="Note 3 2 3 3 3 3" xfId="17737"/>
    <cellStyle name="Note 3 2 3 3 3 4" xfId="20450"/>
    <cellStyle name="Note 3 2 3 3 4" xfId="17738"/>
    <cellStyle name="Note 3 2 3 3 4 2" xfId="17739"/>
    <cellStyle name="Note 3 2 3 3 4 3" xfId="21743"/>
    <cellStyle name="Note 3 2 3 3 5" xfId="17740"/>
    <cellStyle name="Note 3 2 3 3 6" xfId="19153"/>
    <cellStyle name="Note 3 2 3 4" xfId="17741"/>
    <cellStyle name="Note 3 2 3 4 2" xfId="17742"/>
    <cellStyle name="Note 3 2 3 4 2 2" xfId="17743"/>
    <cellStyle name="Note 3 2 3 4 2 2 2" xfId="17744"/>
    <cellStyle name="Note 3 2 3 4 2 2 3" xfId="23356"/>
    <cellStyle name="Note 3 2 3 4 2 3" xfId="17745"/>
    <cellStyle name="Note 3 2 3 4 2 4" xfId="20773"/>
    <cellStyle name="Note 3 2 3 4 3" xfId="17746"/>
    <cellStyle name="Note 3 2 3 4 3 2" xfId="17747"/>
    <cellStyle name="Note 3 2 3 4 3 3" xfId="22066"/>
    <cellStyle name="Note 3 2 3 4 4" xfId="17748"/>
    <cellStyle name="Note 3 2 3 4 5" xfId="19479"/>
    <cellStyle name="Note 3 2 3 5" xfId="17749"/>
    <cellStyle name="Note 3 2 3 5 2" xfId="17750"/>
    <cellStyle name="Note 3 2 3 5 2 2" xfId="17751"/>
    <cellStyle name="Note 3 2 3 5 2 3" xfId="22711"/>
    <cellStyle name="Note 3 2 3 5 3" xfId="17752"/>
    <cellStyle name="Note 3 2 3 5 4" xfId="20128"/>
    <cellStyle name="Note 3 2 3 6" xfId="17753"/>
    <cellStyle name="Note 3 2 3 6 2" xfId="17754"/>
    <cellStyle name="Note 3 2 3 6 3" xfId="21421"/>
    <cellStyle name="Note 3 2 3 7" xfId="17755"/>
    <cellStyle name="Note 3 2 3 8" xfId="18822"/>
    <cellStyle name="Note 3 2 4" xfId="17756"/>
    <cellStyle name="Note 3 2 4 2" xfId="17757"/>
    <cellStyle name="Note 3 2 4 2 2" xfId="17758"/>
    <cellStyle name="Note 3 2 4 2 2 2" xfId="17759"/>
    <cellStyle name="Note 3 2 4 2 2 2 2" xfId="17760"/>
    <cellStyle name="Note 3 2 4 2 2 2 2 2" xfId="17761"/>
    <cellStyle name="Note 3 2 4 2 2 2 2 3" xfId="23759"/>
    <cellStyle name="Note 3 2 4 2 2 2 3" xfId="17762"/>
    <cellStyle name="Note 3 2 4 2 2 2 4" xfId="21176"/>
    <cellStyle name="Note 3 2 4 2 2 3" xfId="17763"/>
    <cellStyle name="Note 3 2 4 2 2 3 2" xfId="17764"/>
    <cellStyle name="Note 3 2 4 2 2 3 3" xfId="22469"/>
    <cellStyle name="Note 3 2 4 2 2 4" xfId="17765"/>
    <cellStyle name="Note 3 2 4 2 2 5" xfId="19882"/>
    <cellStyle name="Note 3 2 4 2 3" xfId="17766"/>
    <cellStyle name="Note 3 2 4 2 3 2" xfId="17767"/>
    <cellStyle name="Note 3 2 4 2 3 2 2" xfId="17768"/>
    <cellStyle name="Note 3 2 4 2 3 2 3" xfId="23114"/>
    <cellStyle name="Note 3 2 4 2 3 3" xfId="17769"/>
    <cellStyle name="Note 3 2 4 2 3 4" xfId="20531"/>
    <cellStyle name="Note 3 2 4 2 4" xfId="17770"/>
    <cellStyle name="Note 3 2 4 2 4 2" xfId="17771"/>
    <cellStyle name="Note 3 2 4 2 4 3" xfId="21824"/>
    <cellStyle name="Note 3 2 4 2 5" xfId="17772"/>
    <cellStyle name="Note 3 2 4 2 6" xfId="19234"/>
    <cellStyle name="Note 3 2 4 3" xfId="17773"/>
    <cellStyle name="Note 3 2 4 3 2" xfId="17774"/>
    <cellStyle name="Note 3 2 4 3 2 2" xfId="17775"/>
    <cellStyle name="Note 3 2 4 3 2 2 2" xfId="17776"/>
    <cellStyle name="Note 3 2 4 3 2 2 3" xfId="23437"/>
    <cellStyle name="Note 3 2 4 3 2 3" xfId="17777"/>
    <cellStyle name="Note 3 2 4 3 2 4" xfId="20854"/>
    <cellStyle name="Note 3 2 4 3 3" xfId="17778"/>
    <cellStyle name="Note 3 2 4 3 3 2" xfId="17779"/>
    <cellStyle name="Note 3 2 4 3 3 3" xfId="22147"/>
    <cellStyle name="Note 3 2 4 3 4" xfId="17780"/>
    <cellStyle name="Note 3 2 4 3 5" xfId="19560"/>
    <cellStyle name="Note 3 2 4 4" xfId="17781"/>
    <cellStyle name="Note 3 2 4 4 2" xfId="17782"/>
    <cellStyle name="Note 3 2 4 4 2 2" xfId="17783"/>
    <cellStyle name="Note 3 2 4 4 2 3" xfId="22792"/>
    <cellStyle name="Note 3 2 4 4 3" xfId="17784"/>
    <cellStyle name="Note 3 2 4 4 4" xfId="20209"/>
    <cellStyle name="Note 3 2 4 5" xfId="17785"/>
    <cellStyle name="Note 3 2 4 5 2" xfId="17786"/>
    <cellStyle name="Note 3 2 4 5 3" xfId="21502"/>
    <cellStyle name="Note 3 2 4 6" xfId="17787"/>
    <cellStyle name="Note 3 2 4 7" xfId="18908"/>
    <cellStyle name="Note 3 2 5" xfId="17788"/>
    <cellStyle name="Note 3 2 5 2" xfId="17789"/>
    <cellStyle name="Note 3 2 5 2 2" xfId="17790"/>
    <cellStyle name="Note 3 2 5 2 2 2" xfId="17791"/>
    <cellStyle name="Note 3 2 5 2 2 2 2" xfId="17792"/>
    <cellStyle name="Note 3 2 5 2 2 2 3" xfId="23598"/>
    <cellStyle name="Note 3 2 5 2 2 3" xfId="17793"/>
    <cellStyle name="Note 3 2 5 2 2 4" xfId="21015"/>
    <cellStyle name="Note 3 2 5 2 3" xfId="17794"/>
    <cellStyle name="Note 3 2 5 2 3 2" xfId="17795"/>
    <cellStyle name="Note 3 2 5 2 3 3" xfId="22308"/>
    <cellStyle name="Note 3 2 5 2 4" xfId="17796"/>
    <cellStyle name="Note 3 2 5 2 5" xfId="19721"/>
    <cellStyle name="Note 3 2 5 3" xfId="17797"/>
    <cellStyle name="Note 3 2 5 3 2" xfId="17798"/>
    <cellStyle name="Note 3 2 5 3 2 2" xfId="17799"/>
    <cellStyle name="Note 3 2 5 3 2 3" xfId="22953"/>
    <cellStyle name="Note 3 2 5 3 3" xfId="17800"/>
    <cellStyle name="Note 3 2 5 3 4" xfId="20370"/>
    <cellStyle name="Note 3 2 5 4" xfId="17801"/>
    <cellStyle name="Note 3 2 5 4 2" xfId="17802"/>
    <cellStyle name="Note 3 2 5 4 3" xfId="21663"/>
    <cellStyle name="Note 3 2 5 5" xfId="17803"/>
    <cellStyle name="Note 3 2 5 6" xfId="19073"/>
    <cellStyle name="Note 3 2 6" xfId="17804"/>
    <cellStyle name="Note 3 2 6 2" xfId="17805"/>
    <cellStyle name="Note 3 2 6 2 2" xfId="17806"/>
    <cellStyle name="Note 3 2 6 2 2 2" xfId="17807"/>
    <cellStyle name="Note 3 2 6 2 2 3" xfId="23275"/>
    <cellStyle name="Note 3 2 6 2 3" xfId="17808"/>
    <cellStyle name="Note 3 2 6 2 4" xfId="20692"/>
    <cellStyle name="Note 3 2 6 3" xfId="17809"/>
    <cellStyle name="Note 3 2 6 3 2" xfId="17810"/>
    <cellStyle name="Note 3 2 6 3 3" xfId="21985"/>
    <cellStyle name="Note 3 2 6 4" xfId="17811"/>
    <cellStyle name="Note 3 2 6 5" xfId="19399"/>
    <cellStyle name="Note 3 2 7" xfId="17812"/>
    <cellStyle name="Note 3 2 7 2" xfId="17813"/>
    <cellStyle name="Note 3 2 7 2 2" xfId="17814"/>
    <cellStyle name="Note 3 2 7 2 3" xfId="22630"/>
    <cellStyle name="Note 3 2 7 3" xfId="17815"/>
    <cellStyle name="Note 3 2 7 4" xfId="20047"/>
    <cellStyle name="Note 3 2 8" xfId="17816"/>
    <cellStyle name="Note 3 2 8 2" xfId="17817"/>
    <cellStyle name="Note 3 2 8 3" xfId="21340"/>
    <cellStyle name="Note 3 2 9" xfId="17818"/>
    <cellStyle name="Note 3 3" xfId="17819"/>
    <cellStyle name="Note 3 3 2" xfId="17820"/>
    <cellStyle name="Note 3 3 2 2" xfId="17821"/>
    <cellStyle name="Note 3 3 2 2 2" xfId="17822"/>
    <cellStyle name="Note 3 3 2 2 2 2" xfId="17823"/>
    <cellStyle name="Note 3 3 2 2 2 2 2" xfId="17824"/>
    <cellStyle name="Note 3 3 2 2 2 2 2 2" xfId="17825"/>
    <cellStyle name="Note 3 3 2 2 2 2 2 2 2" xfId="17826"/>
    <cellStyle name="Note 3 3 2 2 2 2 2 2 3" xfId="23859"/>
    <cellStyle name="Note 3 3 2 2 2 2 2 3" xfId="17827"/>
    <cellStyle name="Note 3 3 2 2 2 2 2 4" xfId="21276"/>
    <cellStyle name="Note 3 3 2 2 2 2 3" xfId="17828"/>
    <cellStyle name="Note 3 3 2 2 2 2 3 2" xfId="17829"/>
    <cellStyle name="Note 3 3 2 2 2 2 3 3" xfId="22569"/>
    <cellStyle name="Note 3 3 2 2 2 2 4" xfId="17830"/>
    <cellStyle name="Note 3 3 2 2 2 2 5" xfId="19982"/>
    <cellStyle name="Note 3 3 2 2 2 3" xfId="17831"/>
    <cellStyle name="Note 3 3 2 2 2 3 2" xfId="17832"/>
    <cellStyle name="Note 3 3 2 2 2 3 2 2" xfId="17833"/>
    <cellStyle name="Note 3 3 2 2 2 3 2 3" xfId="23214"/>
    <cellStyle name="Note 3 3 2 2 2 3 3" xfId="17834"/>
    <cellStyle name="Note 3 3 2 2 2 3 4" xfId="20631"/>
    <cellStyle name="Note 3 3 2 2 2 4" xfId="17835"/>
    <cellStyle name="Note 3 3 2 2 2 4 2" xfId="17836"/>
    <cellStyle name="Note 3 3 2 2 2 4 3" xfId="21924"/>
    <cellStyle name="Note 3 3 2 2 2 5" xfId="17837"/>
    <cellStyle name="Note 3 3 2 2 2 6" xfId="19334"/>
    <cellStyle name="Note 3 3 2 2 3" xfId="17838"/>
    <cellStyle name="Note 3 3 2 2 3 2" xfId="17839"/>
    <cellStyle name="Note 3 3 2 2 3 2 2" xfId="17840"/>
    <cellStyle name="Note 3 3 2 2 3 2 2 2" xfId="17841"/>
    <cellStyle name="Note 3 3 2 2 3 2 2 3" xfId="23537"/>
    <cellStyle name="Note 3 3 2 2 3 2 3" xfId="17842"/>
    <cellStyle name="Note 3 3 2 2 3 2 4" xfId="20954"/>
    <cellStyle name="Note 3 3 2 2 3 3" xfId="17843"/>
    <cellStyle name="Note 3 3 2 2 3 3 2" xfId="17844"/>
    <cellStyle name="Note 3 3 2 2 3 3 3" xfId="22247"/>
    <cellStyle name="Note 3 3 2 2 3 4" xfId="17845"/>
    <cellStyle name="Note 3 3 2 2 3 5" xfId="19660"/>
    <cellStyle name="Note 3 3 2 2 4" xfId="17846"/>
    <cellStyle name="Note 3 3 2 2 4 2" xfId="17847"/>
    <cellStyle name="Note 3 3 2 2 4 2 2" xfId="17848"/>
    <cellStyle name="Note 3 3 2 2 4 2 3" xfId="22892"/>
    <cellStyle name="Note 3 3 2 2 4 3" xfId="17849"/>
    <cellStyle name="Note 3 3 2 2 4 4" xfId="20309"/>
    <cellStyle name="Note 3 3 2 2 5" xfId="17850"/>
    <cellStyle name="Note 3 3 2 2 5 2" xfId="17851"/>
    <cellStyle name="Note 3 3 2 2 5 3" xfId="21602"/>
    <cellStyle name="Note 3 3 2 2 6" xfId="17852"/>
    <cellStyle name="Note 3 3 2 2 7" xfId="19008"/>
    <cellStyle name="Note 3 3 2 3" xfId="17853"/>
    <cellStyle name="Note 3 3 2 3 2" xfId="17854"/>
    <cellStyle name="Note 3 3 2 3 2 2" xfId="17855"/>
    <cellStyle name="Note 3 3 2 3 2 2 2" xfId="17856"/>
    <cellStyle name="Note 3 3 2 3 2 2 2 2" xfId="17857"/>
    <cellStyle name="Note 3 3 2 3 2 2 2 3" xfId="23698"/>
    <cellStyle name="Note 3 3 2 3 2 2 3" xfId="17858"/>
    <cellStyle name="Note 3 3 2 3 2 2 4" xfId="21115"/>
    <cellStyle name="Note 3 3 2 3 2 3" xfId="17859"/>
    <cellStyle name="Note 3 3 2 3 2 3 2" xfId="17860"/>
    <cellStyle name="Note 3 3 2 3 2 3 3" xfId="22408"/>
    <cellStyle name="Note 3 3 2 3 2 4" xfId="17861"/>
    <cellStyle name="Note 3 3 2 3 2 5" xfId="19821"/>
    <cellStyle name="Note 3 3 2 3 3" xfId="17862"/>
    <cellStyle name="Note 3 3 2 3 3 2" xfId="17863"/>
    <cellStyle name="Note 3 3 2 3 3 2 2" xfId="17864"/>
    <cellStyle name="Note 3 3 2 3 3 2 3" xfId="23053"/>
    <cellStyle name="Note 3 3 2 3 3 3" xfId="17865"/>
    <cellStyle name="Note 3 3 2 3 3 4" xfId="20470"/>
    <cellStyle name="Note 3 3 2 3 4" xfId="17866"/>
    <cellStyle name="Note 3 3 2 3 4 2" xfId="17867"/>
    <cellStyle name="Note 3 3 2 3 4 3" xfId="21763"/>
    <cellStyle name="Note 3 3 2 3 5" xfId="17868"/>
    <cellStyle name="Note 3 3 2 3 6" xfId="19173"/>
    <cellStyle name="Note 3 3 2 4" xfId="17869"/>
    <cellStyle name="Note 3 3 2 4 2" xfId="17870"/>
    <cellStyle name="Note 3 3 2 4 2 2" xfId="17871"/>
    <cellStyle name="Note 3 3 2 4 2 2 2" xfId="17872"/>
    <cellStyle name="Note 3 3 2 4 2 2 3" xfId="23376"/>
    <cellStyle name="Note 3 3 2 4 2 3" xfId="17873"/>
    <cellStyle name="Note 3 3 2 4 2 4" xfId="20793"/>
    <cellStyle name="Note 3 3 2 4 3" xfId="17874"/>
    <cellStyle name="Note 3 3 2 4 3 2" xfId="17875"/>
    <cellStyle name="Note 3 3 2 4 3 3" xfId="22086"/>
    <cellStyle name="Note 3 3 2 4 4" xfId="17876"/>
    <cellStyle name="Note 3 3 2 4 5" xfId="19499"/>
    <cellStyle name="Note 3 3 2 5" xfId="17877"/>
    <cellStyle name="Note 3 3 2 5 2" xfId="17878"/>
    <cellStyle name="Note 3 3 2 5 2 2" xfId="17879"/>
    <cellStyle name="Note 3 3 2 5 2 3" xfId="22731"/>
    <cellStyle name="Note 3 3 2 5 3" xfId="17880"/>
    <cellStyle name="Note 3 3 2 5 4" xfId="20148"/>
    <cellStyle name="Note 3 3 2 6" xfId="17881"/>
    <cellStyle name="Note 3 3 2 6 2" xfId="17882"/>
    <cellStyle name="Note 3 3 2 6 3" xfId="21441"/>
    <cellStyle name="Note 3 3 2 7" xfId="17883"/>
    <cellStyle name="Note 3 3 2 8" xfId="18843"/>
    <cellStyle name="Note 3 3 3" xfId="17884"/>
    <cellStyle name="Note 3 3 3 2" xfId="17885"/>
    <cellStyle name="Note 3 3 3 2 2" xfId="17886"/>
    <cellStyle name="Note 3 3 3 2 2 2" xfId="17887"/>
    <cellStyle name="Note 3 3 3 2 2 2 2" xfId="17888"/>
    <cellStyle name="Note 3 3 3 2 2 2 2 2" xfId="17889"/>
    <cellStyle name="Note 3 3 3 2 2 2 2 3" xfId="23779"/>
    <cellStyle name="Note 3 3 3 2 2 2 3" xfId="17890"/>
    <cellStyle name="Note 3 3 3 2 2 2 4" xfId="21196"/>
    <cellStyle name="Note 3 3 3 2 2 3" xfId="17891"/>
    <cellStyle name="Note 3 3 3 2 2 3 2" xfId="17892"/>
    <cellStyle name="Note 3 3 3 2 2 3 3" xfId="22489"/>
    <cellStyle name="Note 3 3 3 2 2 4" xfId="17893"/>
    <cellStyle name="Note 3 3 3 2 2 5" xfId="19902"/>
    <cellStyle name="Note 3 3 3 2 3" xfId="17894"/>
    <cellStyle name="Note 3 3 3 2 3 2" xfId="17895"/>
    <cellStyle name="Note 3 3 3 2 3 2 2" xfId="17896"/>
    <cellStyle name="Note 3 3 3 2 3 2 3" xfId="23134"/>
    <cellStyle name="Note 3 3 3 2 3 3" xfId="17897"/>
    <cellStyle name="Note 3 3 3 2 3 4" xfId="20551"/>
    <cellStyle name="Note 3 3 3 2 4" xfId="17898"/>
    <cellStyle name="Note 3 3 3 2 4 2" xfId="17899"/>
    <cellStyle name="Note 3 3 3 2 4 3" xfId="21844"/>
    <cellStyle name="Note 3 3 3 2 5" xfId="17900"/>
    <cellStyle name="Note 3 3 3 2 6" xfId="19254"/>
    <cellStyle name="Note 3 3 3 3" xfId="17901"/>
    <cellStyle name="Note 3 3 3 3 2" xfId="17902"/>
    <cellStyle name="Note 3 3 3 3 2 2" xfId="17903"/>
    <cellStyle name="Note 3 3 3 3 2 2 2" xfId="17904"/>
    <cellStyle name="Note 3 3 3 3 2 2 3" xfId="23457"/>
    <cellStyle name="Note 3 3 3 3 2 3" xfId="17905"/>
    <cellStyle name="Note 3 3 3 3 2 4" xfId="20874"/>
    <cellStyle name="Note 3 3 3 3 3" xfId="17906"/>
    <cellStyle name="Note 3 3 3 3 3 2" xfId="17907"/>
    <cellStyle name="Note 3 3 3 3 3 3" xfId="22167"/>
    <cellStyle name="Note 3 3 3 3 4" xfId="17908"/>
    <cellStyle name="Note 3 3 3 3 5" xfId="19580"/>
    <cellStyle name="Note 3 3 3 4" xfId="17909"/>
    <cellStyle name="Note 3 3 3 4 2" xfId="17910"/>
    <cellStyle name="Note 3 3 3 4 2 2" xfId="17911"/>
    <cellStyle name="Note 3 3 3 4 2 3" xfId="22812"/>
    <cellStyle name="Note 3 3 3 4 3" xfId="17912"/>
    <cellStyle name="Note 3 3 3 4 4" xfId="20229"/>
    <cellStyle name="Note 3 3 3 5" xfId="17913"/>
    <cellStyle name="Note 3 3 3 5 2" xfId="17914"/>
    <cellStyle name="Note 3 3 3 5 3" xfId="21522"/>
    <cellStyle name="Note 3 3 3 6" xfId="17915"/>
    <cellStyle name="Note 3 3 3 7" xfId="18928"/>
    <cellStyle name="Note 3 3 4" xfId="17916"/>
    <cellStyle name="Note 3 3 4 2" xfId="17917"/>
    <cellStyle name="Note 3 3 4 2 2" xfId="17918"/>
    <cellStyle name="Note 3 3 4 2 2 2" xfId="17919"/>
    <cellStyle name="Note 3 3 4 2 2 2 2" xfId="17920"/>
    <cellStyle name="Note 3 3 4 2 2 2 3" xfId="23618"/>
    <cellStyle name="Note 3 3 4 2 2 3" xfId="17921"/>
    <cellStyle name="Note 3 3 4 2 2 4" xfId="21035"/>
    <cellStyle name="Note 3 3 4 2 3" xfId="17922"/>
    <cellStyle name="Note 3 3 4 2 3 2" xfId="17923"/>
    <cellStyle name="Note 3 3 4 2 3 3" xfId="22328"/>
    <cellStyle name="Note 3 3 4 2 4" xfId="17924"/>
    <cellStyle name="Note 3 3 4 2 5" xfId="19741"/>
    <cellStyle name="Note 3 3 4 3" xfId="17925"/>
    <cellStyle name="Note 3 3 4 3 2" xfId="17926"/>
    <cellStyle name="Note 3 3 4 3 2 2" xfId="17927"/>
    <cellStyle name="Note 3 3 4 3 2 3" xfId="22973"/>
    <cellStyle name="Note 3 3 4 3 3" xfId="17928"/>
    <cellStyle name="Note 3 3 4 3 4" xfId="20390"/>
    <cellStyle name="Note 3 3 4 4" xfId="17929"/>
    <cellStyle name="Note 3 3 4 4 2" xfId="17930"/>
    <cellStyle name="Note 3 3 4 4 3" xfId="21683"/>
    <cellStyle name="Note 3 3 4 5" xfId="17931"/>
    <cellStyle name="Note 3 3 4 6" xfId="19093"/>
    <cellStyle name="Note 3 3 5" xfId="17932"/>
    <cellStyle name="Note 3 3 5 2" xfId="17933"/>
    <cellStyle name="Note 3 3 5 2 2" xfId="17934"/>
    <cellStyle name="Note 3 3 5 2 2 2" xfId="17935"/>
    <cellStyle name="Note 3 3 5 2 2 3" xfId="23295"/>
    <cellStyle name="Note 3 3 5 2 3" xfId="17936"/>
    <cellStyle name="Note 3 3 5 2 4" xfId="20712"/>
    <cellStyle name="Note 3 3 5 3" xfId="17937"/>
    <cellStyle name="Note 3 3 5 3 2" xfId="17938"/>
    <cellStyle name="Note 3 3 5 3 3" xfId="22005"/>
    <cellStyle name="Note 3 3 5 4" xfId="17939"/>
    <cellStyle name="Note 3 3 5 5" xfId="19419"/>
    <cellStyle name="Note 3 3 6" xfId="17940"/>
    <cellStyle name="Note 3 3 6 2" xfId="17941"/>
    <cellStyle name="Note 3 3 6 2 2" xfId="17942"/>
    <cellStyle name="Note 3 3 6 2 3" xfId="22650"/>
    <cellStyle name="Note 3 3 6 3" xfId="17943"/>
    <cellStyle name="Note 3 3 6 4" xfId="20067"/>
    <cellStyle name="Note 3 3 7" xfId="17944"/>
    <cellStyle name="Note 3 3 7 2" xfId="17945"/>
    <cellStyle name="Note 3 3 7 3" xfId="21360"/>
    <cellStyle name="Note 3 3 8" xfId="17946"/>
    <cellStyle name="Note 3 3 9" xfId="18746"/>
    <cellStyle name="Note 3 4" xfId="17947"/>
    <cellStyle name="Note 3 4 2" xfId="17948"/>
    <cellStyle name="Note 3 4 2 2" xfId="17949"/>
    <cellStyle name="Note 3 4 2 2 2" xfId="17950"/>
    <cellStyle name="Note 3 4 2 2 2 2" xfId="17951"/>
    <cellStyle name="Note 3 4 2 2 2 2 2" xfId="17952"/>
    <cellStyle name="Note 3 4 2 2 2 2 2 2" xfId="17953"/>
    <cellStyle name="Note 3 4 2 2 2 2 2 3" xfId="23819"/>
    <cellStyle name="Note 3 4 2 2 2 2 3" xfId="17954"/>
    <cellStyle name="Note 3 4 2 2 2 2 4" xfId="21236"/>
    <cellStyle name="Note 3 4 2 2 2 3" xfId="17955"/>
    <cellStyle name="Note 3 4 2 2 2 3 2" xfId="17956"/>
    <cellStyle name="Note 3 4 2 2 2 3 3" xfId="22529"/>
    <cellStyle name="Note 3 4 2 2 2 4" xfId="17957"/>
    <cellStyle name="Note 3 4 2 2 2 5" xfId="19942"/>
    <cellStyle name="Note 3 4 2 2 3" xfId="17958"/>
    <cellStyle name="Note 3 4 2 2 3 2" xfId="17959"/>
    <cellStyle name="Note 3 4 2 2 3 2 2" xfId="17960"/>
    <cellStyle name="Note 3 4 2 2 3 2 3" xfId="23174"/>
    <cellStyle name="Note 3 4 2 2 3 3" xfId="17961"/>
    <cellStyle name="Note 3 4 2 2 3 4" xfId="20591"/>
    <cellStyle name="Note 3 4 2 2 4" xfId="17962"/>
    <cellStyle name="Note 3 4 2 2 4 2" xfId="17963"/>
    <cellStyle name="Note 3 4 2 2 4 3" xfId="21884"/>
    <cellStyle name="Note 3 4 2 2 5" xfId="17964"/>
    <cellStyle name="Note 3 4 2 2 6" xfId="19294"/>
    <cellStyle name="Note 3 4 2 3" xfId="17965"/>
    <cellStyle name="Note 3 4 2 3 2" xfId="17966"/>
    <cellStyle name="Note 3 4 2 3 2 2" xfId="17967"/>
    <cellStyle name="Note 3 4 2 3 2 2 2" xfId="17968"/>
    <cellStyle name="Note 3 4 2 3 2 2 3" xfId="23497"/>
    <cellStyle name="Note 3 4 2 3 2 3" xfId="17969"/>
    <cellStyle name="Note 3 4 2 3 2 4" xfId="20914"/>
    <cellStyle name="Note 3 4 2 3 3" xfId="17970"/>
    <cellStyle name="Note 3 4 2 3 3 2" xfId="17971"/>
    <cellStyle name="Note 3 4 2 3 3 3" xfId="22207"/>
    <cellStyle name="Note 3 4 2 3 4" xfId="17972"/>
    <cellStyle name="Note 3 4 2 3 5" xfId="19620"/>
    <cellStyle name="Note 3 4 2 4" xfId="17973"/>
    <cellStyle name="Note 3 4 2 4 2" xfId="17974"/>
    <cellStyle name="Note 3 4 2 4 2 2" xfId="17975"/>
    <cellStyle name="Note 3 4 2 4 2 3" xfId="22852"/>
    <cellStyle name="Note 3 4 2 4 3" xfId="17976"/>
    <cellStyle name="Note 3 4 2 4 4" xfId="20269"/>
    <cellStyle name="Note 3 4 2 5" xfId="17977"/>
    <cellStyle name="Note 3 4 2 5 2" xfId="17978"/>
    <cellStyle name="Note 3 4 2 5 3" xfId="21562"/>
    <cellStyle name="Note 3 4 2 6" xfId="17979"/>
    <cellStyle name="Note 3 4 2 7" xfId="18968"/>
    <cellStyle name="Note 3 4 3" xfId="17980"/>
    <cellStyle name="Note 3 4 3 2" xfId="17981"/>
    <cellStyle name="Note 3 4 3 2 2" xfId="17982"/>
    <cellStyle name="Note 3 4 3 2 2 2" xfId="17983"/>
    <cellStyle name="Note 3 4 3 2 2 2 2" xfId="17984"/>
    <cellStyle name="Note 3 4 3 2 2 2 3" xfId="23658"/>
    <cellStyle name="Note 3 4 3 2 2 3" xfId="17985"/>
    <cellStyle name="Note 3 4 3 2 2 4" xfId="21075"/>
    <cellStyle name="Note 3 4 3 2 3" xfId="17986"/>
    <cellStyle name="Note 3 4 3 2 3 2" xfId="17987"/>
    <cellStyle name="Note 3 4 3 2 3 3" xfId="22368"/>
    <cellStyle name="Note 3 4 3 2 4" xfId="17988"/>
    <cellStyle name="Note 3 4 3 2 5" xfId="19781"/>
    <cellStyle name="Note 3 4 3 3" xfId="17989"/>
    <cellStyle name="Note 3 4 3 3 2" xfId="17990"/>
    <cellStyle name="Note 3 4 3 3 2 2" xfId="17991"/>
    <cellStyle name="Note 3 4 3 3 2 3" xfId="23013"/>
    <cellStyle name="Note 3 4 3 3 3" xfId="17992"/>
    <cellStyle name="Note 3 4 3 3 4" xfId="20430"/>
    <cellStyle name="Note 3 4 3 4" xfId="17993"/>
    <cellStyle name="Note 3 4 3 4 2" xfId="17994"/>
    <cellStyle name="Note 3 4 3 4 3" xfId="21723"/>
    <cellStyle name="Note 3 4 3 5" xfId="17995"/>
    <cellStyle name="Note 3 4 3 6" xfId="19133"/>
    <cellStyle name="Note 3 4 4" xfId="17996"/>
    <cellStyle name="Note 3 4 4 2" xfId="17997"/>
    <cellStyle name="Note 3 4 4 2 2" xfId="17998"/>
    <cellStyle name="Note 3 4 4 2 2 2" xfId="17999"/>
    <cellStyle name="Note 3 4 4 2 2 3" xfId="23336"/>
    <cellStyle name="Note 3 4 4 2 3" xfId="18000"/>
    <cellStyle name="Note 3 4 4 2 4" xfId="20753"/>
    <cellStyle name="Note 3 4 4 3" xfId="18001"/>
    <cellStyle name="Note 3 4 4 3 2" xfId="18002"/>
    <cellStyle name="Note 3 4 4 3 3" xfId="22046"/>
    <cellStyle name="Note 3 4 4 4" xfId="18003"/>
    <cellStyle name="Note 3 4 4 5" xfId="19459"/>
    <cellStyle name="Note 3 4 5" xfId="18004"/>
    <cellStyle name="Note 3 4 5 2" xfId="18005"/>
    <cellStyle name="Note 3 4 5 2 2" xfId="18006"/>
    <cellStyle name="Note 3 4 5 2 3" xfId="22691"/>
    <cellStyle name="Note 3 4 5 3" xfId="18007"/>
    <cellStyle name="Note 3 4 5 4" xfId="20108"/>
    <cellStyle name="Note 3 4 6" xfId="18008"/>
    <cellStyle name="Note 3 4 6 2" xfId="18009"/>
    <cellStyle name="Note 3 4 6 3" xfId="21401"/>
    <cellStyle name="Note 3 4 7" xfId="18010"/>
    <cellStyle name="Note 3 4 8" xfId="18800"/>
    <cellStyle name="Note 3 5" xfId="18011"/>
    <cellStyle name="Note 3 5 2" xfId="18012"/>
    <cellStyle name="Note 3 5 2 2" xfId="18013"/>
    <cellStyle name="Note 3 5 2 2 2" xfId="18014"/>
    <cellStyle name="Note 3 5 2 2 2 2" xfId="18015"/>
    <cellStyle name="Note 3 5 2 2 2 2 2" xfId="18016"/>
    <cellStyle name="Note 3 5 2 2 2 2 3" xfId="23739"/>
    <cellStyle name="Note 3 5 2 2 2 3" xfId="18017"/>
    <cellStyle name="Note 3 5 2 2 2 4" xfId="21156"/>
    <cellStyle name="Note 3 5 2 2 3" xfId="18018"/>
    <cellStyle name="Note 3 5 2 2 3 2" xfId="18019"/>
    <cellStyle name="Note 3 5 2 2 3 3" xfId="22449"/>
    <cellStyle name="Note 3 5 2 2 4" xfId="18020"/>
    <cellStyle name="Note 3 5 2 2 5" xfId="19862"/>
    <cellStyle name="Note 3 5 2 3" xfId="18021"/>
    <cellStyle name="Note 3 5 2 3 2" xfId="18022"/>
    <cellStyle name="Note 3 5 2 3 2 2" xfId="18023"/>
    <cellStyle name="Note 3 5 2 3 2 3" xfId="23094"/>
    <cellStyle name="Note 3 5 2 3 3" xfId="18024"/>
    <cellStyle name="Note 3 5 2 3 4" xfId="20511"/>
    <cellStyle name="Note 3 5 2 4" xfId="18025"/>
    <cellStyle name="Note 3 5 2 4 2" xfId="18026"/>
    <cellStyle name="Note 3 5 2 4 3" xfId="21804"/>
    <cellStyle name="Note 3 5 2 5" xfId="18027"/>
    <cellStyle name="Note 3 5 2 6" xfId="19214"/>
    <cellStyle name="Note 3 5 3" xfId="18028"/>
    <cellStyle name="Note 3 5 3 2" xfId="18029"/>
    <cellStyle name="Note 3 5 3 2 2" xfId="18030"/>
    <cellStyle name="Note 3 5 3 2 2 2" xfId="18031"/>
    <cellStyle name="Note 3 5 3 2 2 3" xfId="23417"/>
    <cellStyle name="Note 3 5 3 2 3" xfId="18032"/>
    <cellStyle name="Note 3 5 3 2 4" xfId="20834"/>
    <cellStyle name="Note 3 5 3 3" xfId="18033"/>
    <cellStyle name="Note 3 5 3 3 2" xfId="18034"/>
    <cellStyle name="Note 3 5 3 3 3" xfId="22127"/>
    <cellStyle name="Note 3 5 3 4" xfId="18035"/>
    <cellStyle name="Note 3 5 3 5" xfId="19540"/>
    <cellStyle name="Note 3 5 4" xfId="18036"/>
    <cellStyle name="Note 3 5 4 2" xfId="18037"/>
    <cellStyle name="Note 3 5 4 2 2" xfId="18038"/>
    <cellStyle name="Note 3 5 4 2 3" xfId="22772"/>
    <cellStyle name="Note 3 5 4 3" xfId="18039"/>
    <cellStyle name="Note 3 5 4 4" xfId="20189"/>
    <cellStyle name="Note 3 5 5" xfId="18040"/>
    <cellStyle name="Note 3 5 5 2" xfId="18041"/>
    <cellStyle name="Note 3 5 5 3" xfId="21482"/>
    <cellStyle name="Note 3 5 6" xfId="18042"/>
    <cellStyle name="Note 3 5 7" xfId="18888"/>
    <cellStyle name="Note 3 6" xfId="18043"/>
    <cellStyle name="Note 3 6 2" xfId="18044"/>
    <cellStyle name="Note 3 6 2 2" xfId="18045"/>
    <cellStyle name="Note 3 6 2 2 2" xfId="18046"/>
    <cellStyle name="Note 3 6 2 2 2 2" xfId="18047"/>
    <cellStyle name="Note 3 6 2 2 2 3" xfId="23578"/>
    <cellStyle name="Note 3 6 2 2 3" xfId="18048"/>
    <cellStyle name="Note 3 6 2 2 4" xfId="20995"/>
    <cellStyle name="Note 3 6 2 3" xfId="18049"/>
    <cellStyle name="Note 3 6 2 3 2" xfId="18050"/>
    <cellStyle name="Note 3 6 2 3 3" xfId="22288"/>
    <cellStyle name="Note 3 6 2 4" xfId="18051"/>
    <cellStyle name="Note 3 6 2 5" xfId="19701"/>
    <cellStyle name="Note 3 6 3" xfId="18052"/>
    <cellStyle name="Note 3 6 3 2" xfId="18053"/>
    <cellStyle name="Note 3 6 3 2 2" xfId="18054"/>
    <cellStyle name="Note 3 6 3 2 3" xfId="22933"/>
    <cellStyle name="Note 3 6 3 3" xfId="18055"/>
    <cellStyle name="Note 3 6 3 4" xfId="20350"/>
    <cellStyle name="Note 3 6 4" xfId="18056"/>
    <cellStyle name="Note 3 6 4 2" xfId="18057"/>
    <cellStyle name="Note 3 6 4 3" xfId="21643"/>
    <cellStyle name="Note 3 6 5" xfId="18058"/>
    <cellStyle name="Note 3 6 6" xfId="19053"/>
    <cellStyle name="Note 3 7" xfId="18059"/>
    <cellStyle name="Note 3 7 2" xfId="18060"/>
    <cellStyle name="Note 3 7 2 2" xfId="18061"/>
    <cellStyle name="Note 3 7 2 2 2" xfId="18062"/>
    <cellStyle name="Note 3 7 2 2 3" xfId="23255"/>
    <cellStyle name="Note 3 7 2 3" xfId="18063"/>
    <cellStyle name="Note 3 7 2 4" xfId="20672"/>
    <cellStyle name="Note 3 7 3" xfId="18064"/>
    <cellStyle name="Note 3 7 3 2" xfId="18065"/>
    <cellStyle name="Note 3 7 3 3" xfId="21965"/>
    <cellStyle name="Note 3 7 4" xfId="18066"/>
    <cellStyle name="Note 3 7 5" xfId="19379"/>
    <cellStyle name="Note 3 8" xfId="18067"/>
    <cellStyle name="Note 3 8 2" xfId="18068"/>
    <cellStyle name="Note 3 8 2 2" xfId="18069"/>
    <cellStyle name="Note 3 8 2 3" xfId="22610"/>
    <cellStyle name="Note 3 8 3" xfId="18070"/>
    <cellStyle name="Note 3 8 4" xfId="20027"/>
    <cellStyle name="Note 3 9" xfId="18071"/>
    <cellStyle name="Note 3 9 2" xfId="18072"/>
    <cellStyle name="Note 3 9 3" xfId="21320"/>
    <cellStyle name="Note 4" xfId="18073"/>
    <cellStyle name="Note 4 10" xfId="18708"/>
    <cellStyle name="Note 4 2" xfId="18074"/>
    <cellStyle name="Note 4 2 2" xfId="18075"/>
    <cellStyle name="Note 4 2 2 2" xfId="18076"/>
    <cellStyle name="Note 4 2 2 2 2" xfId="18077"/>
    <cellStyle name="Note 4 2 2 2 2 2" xfId="18078"/>
    <cellStyle name="Note 4 2 2 2 2 2 2" xfId="18079"/>
    <cellStyle name="Note 4 2 2 2 2 2 2 2" xfId="18080"/>
    <cellStyle name="Note 4 2 2 2 2 2 2 2 2" xfId="18081"/>
    <cellStyle name="Note 4 2 2 2 2 2 2 2 3" xfId="23869"/>
    <cellStyle name="Note 4 2 2 2 2 2 2 3" xfId="18082"/>
    <cellStyle name="Note 4 2 2 2 2 2 2 4" xfId="21286"/>
    <cellStyle name="Note 4 2 2 2 2 2 3" xfId="18083"/>
    <cellStyle name="Note 4 2 2 2 2 2 3 2" xfId="18084"/>
    <cellStyle name="Note 4 2 2 2 2 2 3 3" xfId="22579"/>
    <cellStyle name="Note 4 2 2 2 2 2 4" xfId="18085"/>
    <cellStyle name="Note 4 2 2 2 2 2 5" xfId="19992"/>
    <cellStyle name="Note 4 2 2 2 2 3" xfId="18086"/>
    <cellStyle name="Note 4 2 2 2 2 3 2" xfId="18087"/>
    <cellStyle name="Note 4 2 2 2 2 3 2 2" xfId="18088"/>
    <cellStyle name="Note 4 2 2 2 2 3 2 3" xfId="23224"/>
    <cellStyle name="Note 4 2 2 2 2 3 3" xfId="18089"/>
    <cellStyle name="Note 4 2 2 2 2 3 4" xfId="20641"/>
    <cellStyle name="Note 4 2 2 2 2 4" xfId="18090"/>
    <cellStyle name="Note 4 2 2 2 2 4 2" xfId="18091"/>
    <cellStyle name="Note 4 2 2 2 2 4 3" xfId="21934"/>
    <cellStyle name="Note 4 2 2 2 2 5" xfId="18092"/>
    <cellStyle name="Note 4 2 2 2 2 6" xfId="19344"/>
    <cellStyle name="Note 4 2 2 2 3" xfId="18093"/>
    <cellStyle name="Note 4 2 2 2 3 2" xfId="18094"/>
    <cellStyle name="Note 4 2 2 2 3 2 2" xfId="18095"/>
    <cellStyle name="Note 4 2 2 2 3 2 2 2" xfId="18096"/>
    <cellStyle name="Note 4 2 2 2 3 2 2 3" xfId="23547"/>
    <cellStyle name="Note 4 2 2 2 3 2 3" xfId="18097"/>
    <cellStyle name="Note 4 2 2 2 3 2 4" xfId="20964"/>
    <cellStyle name="Note 4 2 2 2 3 3" xfId="18098"/>
    <cellStyle name="Note 4 2 2 2 3 3 2" xfId="18099"/>
    <cellStyle name="Note 4 2 2 2 3 3 3" xfId="22257"/>
    <cellStyle name="Note 4 2 2 2 3 4" xfId="18100"/>
    <cellStyle name="Note 4 2 2 2 3 5" xfId="19670"/>
    <cellStyle name="Note 4 2 2 2 4" xfId="18101"/>
    <cellStyle name="Note 4 2 2 2 4 2" xfId="18102"/>
    <cellStyle name="Note 4 2 2 2 4 2 2" xfId="18103"/>
    <cellStyle name="Note 4 2 2 2 4 2 3" xfId="22902"/>
    <cellStyle name="Note 4 2 2 2 4 3" xfId="18104"/>
    <cellStyle name="Note 4 2 2 2 4 4" xfId="20319"/>
    <cellStyle name="Note 4 2 2 2 5" xfId="18105"/>
    <cellStyle name="Note 4 2 2 2 5 2" xfId="18106"/>
    <cellStyle name="Note 4 2 2 2 5 3" xfId="21612"/>
    <cellStyle name="Note 4 2 2 2 6" xfId="18107"/>
    <cellStyle name="Note 4 2 2 2 7" xfId="19018"/>
    <cellStyle name="Note 4 2 2 3" xfId="18108"/>
    <cellStyle name="Note 4 2 2 3 2" xfId="18109"/>
    <cellStyle name="Note 4 2 2 3 2 2" xfId="18110"/>
    <cellStyle name="Note 4 2 2 3 2 2 2" xfId="18111"/>
    <cellStyle name="Note 4 2 2 3 2 2 2 2" xfId="18112"/>
    <cellStyle name="Note 4 2 2 3 2 2 2 3" xfId="23708"/>
    <cellStyle name="Note 4 2 2 3 2 2 3" xfId="18113"/>
    <cellStyle name="Note 4 2 2 3 2 2 4" xfId="21125"/>
    <cellStyle name="Note 4 2 2 3 2 3" xfId="18114"/>
    <cellStyle name="Note 4 2 2 3 2 3 2" xfId="18115"/>
    <cellStyle name="Note 4 2 2 3 2 3 3" xfId="22418"/>
    <cellStyle name="Note 4 2 2 3 2 4" xfId="18116"/>
    <cellStyle name="Note 4 2 2 3 2 5" xfId="19831"/>
    <cellStyle name="Note 4 2 2 3 3" xfId="18117"/>
    <cellStyle name="Note 4 2 2 3 3 2" xfId="18118"/>
    <cellStyle name="Note 4 2 2 3 3 2 2" xfId="18119"/>
    <cellStyle name="Note 4 2 2 3 3 2 3" xfId="23063"/>
    <cellStyle name="Note 4 2 2 3 3 3" xfId="18120"/>
    <cellStyle name="Note 4 2 2 3 3 4" xfId="20480"/>
    <cellStyle name="Note 4 2 2 3 4" xfId="18121"/>
    <cellStyle name="Note 4 2 2 3 4 2" xfId="18122"/>
    <cellStyle name="Note 4 2 2 3 4 3" xfId="21773"/>
    <cellStyle name="Note 4 2 2 3 5" xfId="18123"/>
    <cellStyle name="Note 4 2 2 3 6" xfId="19183"/>
    <cellStyle name="Note 4 2 2 4" xfId="18124"/>
    <cellStyle name="Note 4 2 2 4 2" xfId="18125"/>
    <cellStyle name="Note 4 2 2 4 2 2" xfId="18126"/>
    <cellStyle name="Note 4 2 2 4 2 2 2" xfId="18127"/>
    <cellStyle name="Note 4 2 2 4 2 2 3" xfId="23386"/>
    <cellStyle name="Note 4 2 2 4 2 3" xfId="18128"/>
    <cellStyle name="Note 4 2 2 4 2 4" xfId="20803"/>
    <cellStyle name="Note 4 2 2 4 3" xfId="18129"/>
    <cellStyle name="Note 4 2 2 4 3 2" xfId="18130"/>
    <cellStyle name="Note 4 2 2 4 3 3" xfId="22096"/>
    <cellStyle name="Note 4 2 2 4 4" xfId="18131"/>
    <cellStyle name="Note 4 2 2 4 5" xfId="19509"/>
    <cellStyle name="Note 4 2 2 5" xfId="18132"/>
    <cellStyle name="Note 4 2 2 5 2" xfId="18133"/>
    <cellStyle name="Note 4 2 2 5 2 2" xfId="18134"/>
    <cellStyle name="Note 4 2 2 5 2 3" xfId="22741"/>
    <cellStyle name="Note 4 2 2 5 3" xfId="18135"/>
    <cellStyle name="Note 4 2 2 5 4" xfId="20158"/>
    <cellStyle name="Note 4 2 2 6" xfId="18136"/>
    <cellStyle name="Note 4 2 2 6 2" xfId="18137"/>
    <cellStyle name="Note 4 2 2 6 3" xfId="21451"/>
    <cellStyle name="Note 4 2 2 7" xfId="18138"/>
    <cellStyle name="Note 4 2 2 8" xfId="18853"/>
    <cellStyle name="Note 4 2 3" xfId="18139"/>
    <cellStyle name="Note 4 2 3 2" xfId="18140"/>
    <cellStyle name="Note 4 2 3 2 2" xfId="18141"/>
    <cellStyle name="Note 4 2 3 2 2 2" xfId="18142"/>
    <cellStyle name="Note 4 2 3 2 2 2 2" xfId="18143"/>
    <cellStyle name="Note 4 2 3 2 2 2 2 2" xfId="18144"/>
    <cellStyle name="Note 4 2 3 2 2 2 2 3" xfId="23789"/>
    <cellStyle name="Note 4 2 3 2 2 2 3" xfId="18145"/>
    <cellStyle name="Note 4 2 3 2 2 2 4" xfId="21206"/>
    <cellStyle name="Note 4 2 3 2 2 3" xfId="18146"/>
    <cellStyle name="Note 4 2 3 2 2 3 2" xfId="18147"/>
    <cellStyle name="Note 4 2 3 2 2 3 3" xfId="22499"/>
    <cellStyle name="Note 4 2 3 2 2 4" xfId="18148"/>
    <cellStyle name="Note 4 2 3 2 2 5" xfId="19912"/>
    <cellStyle name="Note 4 2 3 2 3" xfId="18149"/>
    <cellStyle name="Note 4 2 3 2 3 2" xfId="18150"/>
    <cellStyle name="Note 4 2 3 2 3 2 2" xfId="18151"/>
    <cellStyle name="Note 4 2 3 2 3 2 3" xfId="23144"/>
    <cellStyle name="Note 4 2 3 2 3 3" xfId="18152"/>
    <cellStyle name="Note 4 2 3 2 3 4" xfId="20561"/>
    <cellStyle name="Note 4 2 3 2 4" xfId="18153"/>
    <cellStyle name="Note 4 2 3 2 4 2" xfId="18154"/>
    <cellStyle name="Note 4 2 3 2 4 3" xfId="21854"/>
    <cellStyle name="Note 4 2 3 2 5" xfId="18155"/>
    <cellStyle name="Note 4 2 3 2 6" xfId="19264"/>
    <cellStyle name="Note 4 2 3 3" xfId="18156"/>
    <cellStyle name="Note 4 2 3 3 2" xfId="18157"/>
    <cellStyle name="Note 4 2 3 3 2 2" xfId="18158"/>
    <cellStyle name="Note 4 2 3 3 2 2 2" xfId="18159"/>
    <cellStyle name="Note 4 2 3 3 2 2 3" xfId="23467"/>
    <cellStyle name="Note 4 2 3 3 2 3" xfId="18160"/>
    <cellStyle name="Note 4 2 3 3 2 4" xfId="20884"/>
    <cellStyle name="Note 4 2 3 3 3" xfId="18161"/>
    <cellStyle name="Note 4 2 3 3 3 2" xfId="18162"/>
    <cellStyle name="Note 4 2 3 3 3 3" xfId="22177"/>
    <cellStyle name="Note 4 2 3 3 4" xfId="18163"/>
    <cellStyle name="Note 4 2 3 3 5" xfId="19590"/>
    <cellStyle name="Note 4 2 3 4" xfId="18164"/>
    <cellStyle name="Note 4 2 3 4 2" xfId="18165"/>
    <cellStyle name="Note 4 2 3 4 2 2" xfId="18166"/>
    <cellStyle name="Note 4 2 3 4 2 3" xfId="22822"/>
    <cellStyle name="Note 4 2 3 4 3" xfId="18167"/>
    <cellStyle name="Note 4 2 3 4 4" xfId="20239"/>
    <cellStyle name="Note 4 2 3 5" xfId="18168"/>
    <cellStyle name="Note 4 2 3 5 2" xfId="18169"/>
    <cellStyle name="Note 4 2 3 5 3" xfId="21532"/>
    <cellStyle name="Note 4 2 3 6" xfId="18170"/>
    <cellStyle name="Note 4 2 3 7" xfId="18938"/>
    <cellStyle name="Note 4 2 4" xfId="18171"/>
    <cellStyle name="Note 4 2 4 2" xfId="18172"/>
    <cellStyle name="Note 4 2 4 2 2" xfId="18173"/>
    <cellStyle name="Note 4 2 4 2 2 2" xfId="18174"/>
    <cellStyle name="Note 4 2 4 2 2 2 2" xfId="18175"/>
    <cellStyle name="Note 4 2 4 2 2 2 3" xfId="23628"/>
    <cellStyle name="Note 4 2 4 2 2 3" xfId="18176"/>
    <cellStyle name="Note 4 2 4 2 2 4" xfId="21045"/>
    <cellStyle name="Note 4 2 4 2 3" xfId="18177"/>
    <cellStyle name="Note 4 2 4 2 3 2" xfId="18178"/>
    <cellStyle name="Note 4 2 4 2 3 3" xfId="22338"/>
    <cellStyle name="Note 4 2 4 2 4" xfId="18179"/>
    <cellStyle name="Note 4 2 4 2 5" xfId="19751"/>
    <cellStyle name="Note 4 2 4 3" xfId="18180"/>
    <cellStyle name="Note 4 2 4 3 2" xfId="18181"/>
    <cellStyle name="Note 4 2 4 3 2 2" xfId="18182"/>
    <cellStyle name="Note 4 2 4 3 2 3" xfId="22983"/>
    <cellStyle name="Note 4 2 4 3 3" xfId="18183"/>
    <cellStyle name="Note 4 2 4 3 4" xfId="20400"/>
    <cellStyle name="Note 4 2 4 4" xfId="18184"/>
    <cellStyle name="Note 4 2 4 4 2" xfId="18185"/>
    <cellStyle name="Note 4 2 4 4 3" xfId="21693"/>
    <cellStyle name="Note 4 2 4 5" xfId="18186"/>
    <cellStyle name="Note 4 2 4 6" xfId="19103"/>
    <cellStyle name="Note 4 2 5" xfId="18187"/>
    <cellStyle name="Note 4 2 5 2" xfId="18188"/>
    <cellStyle name="Note 4 2 5 2 2" xfId="18189"/>
    <cellStyle name="Note 4 2 5 2 2 2" xfId="18190"/>
    <cellStyle name="Note 4 2 5 2 2 3" xfId="23305"/>
    <cellStyle name="Note 4 2 5 2 3" xfId="18191"/>
    <cellStyle name="Note 4 2 5 2 4" xfId="20722"/>
    <cellStyle name="Note 4 2 5 3" xfId="18192"/>
    <cellStyle name="Note 4 2 5 3 2" xfId="18193"/>
    <cellStyle name="Note 4 2 5 3 3" xfId="22015"/>
    <cellStyle name="Note 4 2 5 4" xfId="18194"/>
    <cellStyle name="Note 4 2 5 5" xfId="19429"/>
    <cellStyle name="Note 4 2 6" xfId="18195"/>
    <cellStyle name="Note 4 2 6 2" xfId="18196"/>
    <cellStyle name="Note 4 2 6 2 2" xfId="18197"/>
    <cellStyle name="Note 4 2 6 2 3" xfId="22660"/>
    <cellStyle name="Note 4 2 6 3" xfId="18198"/>
    <cellStyle name="Note 4 2 6 4" xfId="20077"/>
    <cellStyle name="Note 4 2 7" xfId="18199"/>
    <cellStyle name="Note 4 2 7 2" xfId="18200"/>
    <cellStyle name="Note 4 2 7 3" xfId="21370"/>
    <cellStyle name="Note 4 2 8" xfId="18201"/>
    <cellStyle name="Note 4 2 9" xfId="18756"/>
    <cellStyle name="Note 4 3" xfId="18202"/>
    <cellStyle name="Note 4 3 2" xfId="18203"/>
    <cellStyle name="Note 4 3 2 2" xfId="18204"/>
    <cellStyle name="Note 4 3 2 2 2" xfId="18205"/>
    <cellStyle name="Note 4 3 2 2 2 2" xfId="18206"/>
    <cellStyle name="Note 4 3 2 2 2 2 2" xfId="18207"/>
    <cellStyle name="Note 4 3 2 2 2 2 2 2" xfId="18208"/>
    <cellStyle name="Note 4 3 2 2 2 2 2 3" xfId="23829"/>
    <cellStyle name="Note 4 3 2 2 2 2 3" xfId="18209"/>
    <cellStyle name="Note 4 3 2 2 2 2 4" xfId="21246"/>
    <cellStyle name="Note 4 3 2 2 2 3" xfId="18210"/>
    <cellStyle name="Note 4 3 2 2 2 3 2" xfId="18211"/>
    <cellStyle name="Note 4 3 2 2 2 3 3" xfId="22539"/>
    <cellStyle name="Note 4 3 2 2 2 4" xfId="18212"/>
    <cellStyle name="Note 4 3 2 2 2 5" xfId="19952"/>
    <cellStyle name="Note 4 3 2 2 3" xfId="18213"/>
    <cellStyle name="Note 4 3 2 2 3 2" xfId="18214"/>
    <cellStyle name="Note 4 3 2 2 3 2 2" xfId="18215"/>
    <cellStyle name="Note 4 3 2 2 3 2 3" xfId="23184"/>
    <cellStyle name="Note 4 3 2 2 3 3" xfId="18216"/>
    <cellStyle name="Note 4 3 2 2 3 4" xfId="20601"/>
    <cellStyle name="Note 4 3 2 2 4" xfId="18217"/>
    <cellStyle name="Note 4 3 2 2 4 2" xfId="18218"/>
    <cellStyle name="Note 4 3 2 2 4 3" xfId="21894"/>
    <cellStyle name="Note 4 3 2 2 5" xfId="18219"/>
    <cellStyle name="Note 4 3 2 2 6" xfId="19304"/>
    <cellStyle name="Note 4 3 2 3" xfId="18220"/>
    <cellStyle name="Note 4 3 2 3 2" xfId="18221"/>
    <cellStyle name="Note 4 3 2 3 2 2" xfId="18222"/>
    <cellStyle name="Note 4 3 2 3 2 2 2" xfId="18223"/>
    <cellStyle name="Note 4 3 2 3 2 2 3" xfId="23507"/>
    <cellStyle name="Note 4 3 2 3 2 3" xfId="18224"/>
    <cellStyle name="Note 4 3 2 3 2 4" xfId="20924"/>
    <cellStyle name="Note 4 3 2 3 3" xfId="18225"/>
    <cellStyle name="Note 4 3 2 3 3 2" xfId="18226"/>
    <cellStyle name="Note 4 3 2 3 3 3" xfId="22217"/>
    <cellStyle name="Note 4 3 2 3 4" xfId="18227"/>
    <cellStyle name="Note 4 3 2 3 5" xfId="19630"/>
    <cellStyle name="Note 4 3 2 4" xfId="18228"/>
    <cellStyle name="Note 4 3 2 4 2" xfId="18229"/>
    <cellStyle name="Note 4 3 2 4 2 2" xfId="18230"/>
    <cellStyle name="Note 4 3 2 4 2 3" xfId="22862"/>
    <cellStyle name="Note 4 3 2 4 3" xfId="18231"/>
    <cellStyle name="Note 4 3 2 4 4" xfId="20279"/>
    <cellStyle name="Note 4 3 2 5" xfId="18232"/>
    <cellStyle name="Note 4 3 2 5 2" xfId="18233"/>
    <cellStyle name="Note 4 3 2 5 3" xfId="21572"/>
    <cellStyle name="Note 4 3 2 6" xfId="18234"/>
    <cellStyle name="Note 4 3 2 7" xfId="18978"/>
    <cellStyle name="Note 4 3 3" xfId="18235"/>
    <cellStyle name="Note 4 3 3 2" xfId="18236"/>
    <cellStyle name="Note 4 3 3 2 2" xfId="18237"/>
    <cellStyle name="Note 4 3 3 2 2 2" xfId="18238"/>
    <cellStyle name="Note 4 3 3 2 2 2 2" xfId="18239"/>
    <cellStyle name="Note 4 3 3 2 2 2 3" xfId="23668"/>
    <cellStyle name="Note 4 3 3 2 2 3" xfId="18240"/>
    <cellStyle name="Note 4 3 3 2 2 4" xfId="21085"/>
    <cellStyle name="Note 4 3 3 2 3" xfId="18241"/>
    <cellStyle name="Note 4 3 3 2 3 2" xfId="18242"/>
    <cellStyle name="Note 4 3 3 2 3 3" xfId="22378"/>
    <cellStyle name="Note 4 3 3 2 4" xfId="18243"/>
    <cellStyle name="Note 4 3 3 2 5" xfId="19791"/>
    <cellStyle name="Note 4 3 3 3" xfId="18244"/>
    <cellStyle name="Note 4 3 3 3 2" xfId="18245"/>
    <cellStyle name="Note 4 3 3 3 2 2" xfId="18246"/>
    <cellStyle name="Note 4 3 3 3 2 3" xfId="23023"/>
    <cellStyle name="Note 4 3 3 3 3" xfId="18247"/>
    <cellStyle name="Note 4 3 3 3 4" xfId="20440"/>
    <cellStyle name="Note 4 3 3 4" xfId="18248"/>
    <cellStyle name="Note 4 3 3 4 2" xfId="18249"/>
    <cellStyle name="Note 4 3 3 4 3" xfId="21733"/>
    <cellStyle name="Note 4 3 3 5" xfId="18250"/>
    <cellStyle name="Note 4 3 3 6" xfId="19143"/>
    <cellStyle name="Note 4 3 4" xfId="18251"/>
    <cellStyle name="Note 4 3 4 2" xfId="18252"/>
    <cellStyle name="Note 4 3 4 2 2" xfId="18253"/>
    <cellStyle name="Note 4 3 4 2 2 2" xfId="18254"/>
    <cellStyle name="Note 4 3 4 2 2 3" xfId="23346"/>
    <cellStyle name="Note 4 3 4 2 3" xfId="18255"/>
    <cellStyle name="Note 4 3 4 2 4" xfId="20763"/>
    <cellStyle name="Note 4 3 4 3" xfId="18256"/>
    <cellStyle name="Note 4 3 4 3 2" xfId="18257"/>
    <cellStyle name="Note 4 3 4 3 3" xfId="22056"/>
    <cellStyle name="Note 4 3 4 4" xfId="18258"/>
    <cellStyle name="Note 4 3 4 5" xfId="19469"/>
    <cellStyle name="Note 4 3 5" xfId="18259"/>
    <cellStyle name="Note 4 3 5 2" xfId="18260"/>
    <cellStyle name="Note 4 3 5 2 2" xfId="18261"/>
    <cellStyle name="Note 4 3 5 2 3" xfId="22701"/>
    <cellStyle name="Note 4 3 5 3" xfId="18262"/>
    <cellStyle name="Note 4 3 5 4" xfId="20118"/>
    <cellStyle name="Note 4 3 6" xfId="18263"/>
    <cellStyle name="Note 4 3 6 2" xfId="18264"/>
    <cellStyle name="Note 4 3 6 3" xfId="21411"/>
    <cellStyle name="Note 4 3 7" xfId="18265"/>
    <cellStyle name="Note 4 3 8" xfId="18811"/>
    <cellStyle name="Note 4 4" xfId="18266"/>
    <cellStyle name="Note 4 4 2" xfId="18267"/>
    <cellStyle name="Note 4 4 2 2" xfId="18268"/>
    <cellStyle name="Note 4 4 2 2 2" xfId="18269"/>
    <cellStyle name="Note 4 4 2 2 2 2" xfId="18270"/>
    <cellStyle name="Note 4 4 2 2 2 2 2" xfId="18271"/>
    <cellStyle name="Note 4 4 2 2 2 2 3" xfId="23749"/>
    <cellStyle name="Note 4 4 2 2 2 3" xfId="18272"/>
    <cellStyle name="Note 4 4 2 2 2 4" xfId="21166"/>
    <cellStyle name="Note 4 4 2 2 3" xfId="18273"/>
    <cellStyle name="Note 4 4 2 2 3 2" xfId="18274"/>
    <cellStyle name="Note 4 4 2 2 3 3" xfId="22459"/>
    <cellStyle name="Note 4 4 2 2 4" xfId="18275"/>
    <cellStyle name="Note 4 4 2 2 5" xfId="19872"/>
    <cellStyle name="Note 4 4 2 3" xfId="18276"/>
    <cellStyle name="Note 4 4 2 3 2" xfId="18277"/>
    <cellStyle name="Note 4 4 2 3 2 2" xfId="18278"/>
    <cellStyle name="Note 4 4 2 3 2 3" xfId="23104"/>
    <cellStyle name="Note 4 4 2 3 3" xfId="18279"/>
    <cellStyle name="Note 4 4 2 3 4" xfId="20521"/>
    <cellStyle name="Note 4 4 2 4" xfId="18280"/>
    <cellStyle name="Note 4 4 2 4 2" xfId="18281"/>
    <cellStyle name="Note 4 4 2 4 3" xfId="21814"/>
    <cellStyle name="Note 4 4 2 5" xfId="18282"/>
    <cellStyle name="Note 4 4 2 6" xfId="19224"/>
    <cellStyle name="Note 4 4 3" xfId="18283"/>
    <cellStyle name="Note 4 4 3 2" xfId="18284"/>
    <cellStyle name="Note 4 4 3 2 2" xfId="18285"/>
    <cellStyle name="Note 4 4 3 2 2 2" xfId="18286"/>
    <cellStyle name="Note 4 4 3 2 2 3" xfId="23427"/>
    <cellStyle name="Note 4 4 3 2 3" xfId="18287"/>
    <cellStyle name="Note 4 4 3 2 4" xfId="20844"/>
    <cellStyle name="Note 4 4 3 3" xfId="18288"/>
    <cellStyle name="Note 4 4 3 3 2" xfId="18289"/>
    <cellStyle name="Note 4 4 3 3 3" xfId="22137"/>
    <cellStyle name="Note 4 4 3 4" xfId="18290"/>
    <cellStyle name="Note 4 4 3 5" xfId="19550"/>
    <cellStyle name="Note 4 4 4" xfId="18291"/>
    <cellStyle name="Note 4 4 4 2" xfId="18292"/>
    <cellStyle name="Note 4 4 4 2 2" xfId="18293"/>
    <cellStyle name="Note 4 4 4 2 3" xfId="22782"/>
    <cellStyle name="Note 4 4 4 3" xfId="18294"/>
    <cellStyle name="Note 4 4 4 4" xfId="20199"/>
    <cellStyle name="Note 4 4 5" xfId="18295"/>
    <cellStyle name="Note 4 4 5 2" xfId="18296"/>
    <cellStyle name="Note 4 4 5 3" xfId="21492"/>
    <cellStyle name="Note 4 4 6" xfId="18297"/>
    <cellStyle name="Note 4 4 7" xfId="18898"/>
    <cellStyle name="Note 4 5" xfId="18298"/>
    <cellStyle name="Note 4 5 2" xfId="18299"/>
    <cellStyle name="Note 4 5 2 2" xfId="18300"/>
    <cellStyle name="Note 4 5 2 2 2" xfId="18301"/>
    <cellStyle name="Note 4 5 2 2 2 2" xfId="18302"/>
    <cellStyle name="Note 4 5 2 2 2 3" xfId="23588"/>
    <cellStyle name="Note 4 5 2 2 3" xfId="18303"/>
    <cellStyle name="Note 4 5 2 2 4" xfId="21005"/>
    <cellStyle name="Note 4 5 2 3" xfId="18304"/>
    <cellStyle name="Note 4 5 2 3 2" xfId="18305"/>
    <cellStyle name="Note 4 5 2 3 3" xfId="22298"/>
    <cellStyle name="Note 4 5 2 4" xfId="18306"/>
    <cellStyle name="Note 4 5 2 5" xfId="19711"/>
    <cellStyle name="Note 4 5 3" xfId="18307"/>
    <cellStyle name="Note 4 5 3 2" xfId="18308"/>
    <cellStyle name="Note 4 5 3 2 2" xfId="18309"/>
    <cellStyle name="Note 4 5 3 2 3" xfId="22943"/>
    <cellStyle name="Note 4 5 3 3" xfId="18310"/>
    <cellStyle name="Note 4 5 3 4" xfId="20360"/>
    <cellStyle name="Note 4 5 4" xfId="18311"/>
    <cellStyle name="Note 4 5 4 2" xfId="18312"/>
    <cellStyle name="Note 4 5 4 3" xfId="21653"/>
    <cellStyle name="Note 4 5 5" xfId="18313"/>
    <cellStyle name="Note 4 5 6" xfId="19063"/>
    <cellStyle name="Note 4 6" xfId="18314"/>
    <cellStyle name="Note 4 6 2" xfId="18315"/>
    <cellStyle name="Note 4 6 2 2" xfId="18316"/>
    <cellStyle name="Note 4 6 2 2 2" xfId="18317"/>
    <cellStyle name="Note 4 6 2 2 3" xfId="23265"/>
    <cellStyle name="Note 4 6 2 3" xfId="18318"/>
    <cellStyle name="Note 4 6 2 4" xfId="20682"/>
    <cellStyle name="Note 4 6 3" xfId="18319"/>
    <cellStyle name="Note 4 6 3 2" xfId="18320"/>
    <cellStyle name="Note 4 6 3 3" xfId="21975"/>
    <cellStyle name="Note 4 6 4" xfId="18321"/>
    <cellStyle name="Note 4 6 5" xfId="19389"/>
    <cellStyle name="Note 4 7" xfId="18322"/>
    <cellStyle name="Note 4 7 2" xfId="18323"/>
    <cellStyle name="Note 4 7 2 2" xfId="18324"/>
    <cellStyle name="Note 4 7 2 3" xfId="22620"/>
    <cellStyle name="Note 4 7 3" xfId="18325"/>
    <cellStyle name="Note 4 7 4" xfId="20037"/>
    <cellStyle name="Note 4 8" xfId="18326"/>
    <cellStyle name="Note 4 8 2" xfId="18327"/>
    <cellStyle name="Note 4 8 3" xfId="21330"/>
    <cellStyle name="Note 4 9" xfId="18328"/>
    <cellStyle name="Note 5" xfId="18329"/>
    <cellStyle name="Note 5 2" xfId="18330"/>
    <cellStyle name="Note 5 2 2" xfId="18331"/>
    <cellStyle name="Note 5 2 2 2" xfId="18332"/>
    <cellStyle name="Note 5 2 2 2 2" xfId="18333"/>
    <cellStyle name="Note 5 2 2 2 2 2" xfId="18334"/>
    <cellStyle name="Note 5 2 2 2 2 2 2" xfId="18335"/>
    <cellStyle name="Note 5 2 2 2 2 2 2 2" xfId="18336"/>
    <cellStyle name="Note 5 2 2 2 2 2 2 3" xfId="23849"/>
    <cellStyle name="Note 5 2 2 2 2 2 3" xfId="18337"/>
    <cellStyle name="Note 5 2 2 2 2 2 4" xfId="21266"/>
    <cellStyle name="Note 5 2 2 2 2 3" xfId="18338"/>
    <cellStyle name="Note 5 2 2 2 2 3 2" xfId="18339"/>
    <cellStyle name="Note 5 2 2 2 2 3 3" xfId="22559"/>
    <cellStyle name="Note 5 2 2 2 2 4" xfId="18340"/>
    <cellStyle name="Note 5 2 2 2 2 5" xfId="19972"/>
    <cellStyle name="Note 5 2 2 2 3" xfId="18341"/>
    <cellStyle name="Note 5 2 2 2 3 2" xfId="18342"/>
    <cellStyle name="Note 5 2 2 2 3 2 2" xfId="18343"/>
    <cellStyle name="Note 5 2 2 2 3 2 3" xfId="23204"/>
    <cellStyle name="Note 5 2 2 2 3 3" xfId="18344"/>
    <cellStyle name="Note 5 2 2 2 3 4" xfId="20621"/>
    <cellStyle name="Note 5 2 2 2 4" xfId="18345"/>
    <cellStyle name="Note 5 2 2 2 4 2" xfId="18346"/>
    <cellStyle name="Note 5 2 2 2 4 3" xfId="21914"/>
    <cellStyle name="Note 5 2 2 2 5" xfId="18347"/>
    <cellStyle name="Note 5 2 2 2 6" xfId="19324"/>
    <cellStyle name="Note 5 2 2 3" xfId="18348"/>
    <cellStyle name="Note 5 2 2 3 2" xfId="18349"/>
    <cellStyle name="Note 5 2 2 3 2 2" xfId="18350"/>
    <cellStyle name="Note 5 2 2 3 2 2 2" xfId="18351"/>
    <cellStyle name="Note 5 2 2 3 2 2 3" xfId="23527"/>
    <cellStyle name="Note 5 2 2 3 2 3" xfId="18352"/>
    <cellStyle name="Note 5 2 2 3 2 4" xfId="20944"/>
    <cellStyle name="Note 5 2 2 3 3" xfId="18353"/>
    <cellStyle name="Note 5 2 2 3 3 2" xfId="18354"/>
    <cellStyle name="Note 5 2 2 3 3 3" xfId="22237"/>
    <cellStyle name="Note 5 2 2 3 4" xfId="18355"/>
    <cellStyle name="Note 5 2 2 3 5" xfId="19650"/>
    <cellStyle name="Note 5 2 2 4" xfId="18356"/>
    <cellStyle name="Note 5 2 2 4 2" xfId="18357"/>
    <cellStyle name="Note 5 2 2 4 2 2" xfId="18358"/>
    <cellStyle name="Note 5 2 2 4 2 3" xfId="22882"/>
    <cellStyle name="Note 5 2 2 4 3" xfId="18359"/>
    <cellStyle name="Note 5 2 2 4 4" xfId="20299"/>
    <cellStyle name="Note 5 2 2 5" xfId="18360"/>
    <cellStyle name="Note 5 2 2 5 2" xfId="18361"/>
    <cellStyle name="Note 5 2 2 5 3" xfId="21592"/>
    <cellStyle name="Note 5 2 2 6" xfId="18362"/>
    <cellStyle name="Note 5 2 2 7" xfId="18998"/>
    <cellStyle name="Note 5 2 3" xfId="18363"/>
    <cellStyle name="Note 5 2 3 2" xfId="18364"/>
    <cellStyle name="Note 5 2 3 2 2" xfId="18365"/>
    <cellStyle name="Note 5 2 3 2 2 2" xfId="18366"/>
    <cellStyle name="Note 5 2 3 2 2 2 2" xfId="18367"/>
    <cellStyle name="Note 5 2 3 2 2 2 3" xfId="23688"/>
    <cellStyle name="Note 5 2 3 2 2 3" xfId="18368"/>
    <cellStyle name="Note 5 2 3 2 2 4" xfId="21105"/>
    <cellStyle name="Note 5 2 3 2 3" xfId="18369"/>
    <cellStyle name="Note 5 2 3 2 3 2" xfId="18370"/>
    <cellStyle name="Note 5 2 3 2 3 3" xfId="22398"/>
    <cellStyle name="Note 5 2 3 2 4" xfId="18371"/>
    <cellStyle name="Note 5 2 3 2 5" xfId="19811"/>
    <cellStyle name="Note 5 2 3 3" xfId="18372"/>
    <cellStyle name="Note 5 2 3 3 2" xfId="18373"/>
    <cellStyle name="Note 5 2 3 3 2 2" xfId="18374"/>
    <cellStyle name="Note 5 2 3 3 2 3" xfId="23043"/>
    <cellStyle name="Note 5 2 3 3 3" xfId="18375"/>
    <cellStyle name="Note 5 2 3 3 4" xfId="20460"/>
    <cellStyle name="Note 5 2 3 4" xfId="18376"/>
    <cellStyle name="Note 5 2 3 4 2" xfId="18377"/>
    <cellStyle name="Note 5 2 3 4 3" xfId="21753"/>
    <cellStyle name="Note 5 2 3 5" xfId="18378"/>
    <cellStyle name="Note 5 2 3 6" xfId="19163"/>
    <cellStyle name="Note 5 2 4" xfId="18379"/>
    <cellStyle name="Note 5 2 4 2" xfId="18380"/>
    <cellStyle name="Note 5 2 4 2 2" xfId="18381"/>
    <cellStyle name="Note 5 2 4 2 2 2" xfId="18382"/>
    <cellStyle name="Note 5 2 4 2 2 3" xfId="23366"/>
    <cellStyle name="Note 5 2 4 2 3" xfId="18383"/>
    <cellStyle name="Note 5 2 4 2 4" xfId="20783"/>
    <cellStyle name="Note 5 2 4 3" xfId="18384"/>
    <cellStyle name="Note 5 2 4 3 2" xfId="18385"/>
    <cellStyle name="Note 5 2 4 3 3" xfId="22076"/>
    <cellStyle name="Note 5 2 4 4" xfId="18386"/>
    <cellStyle name="Note 5 2 4 5" xfId="19489"/>
    <cellStyle name="Note 5 2 5" xfId="18387"/>
    <cellStyle name="Note 5 2 5 2" xfId="18388"/>
    <cellStyle name="Note 5 2 5 2 2" xfId="18389"/>
    <cellStyle name="Note 5 2 5 2 3" xfId="22721"/>
    <cellStyle name="Note 5 2 5 3" xfId="18390"/>
    <cellStyle name="Note 5 2 5 4" xfId="20138"/>
    <cellStyle name="Note 5 2 6" xfId="18391"/>
    <cellStyle name="Note 5 2 6 2" xfId="18392"/>
    <cellStyle name="Note 5 2 6 3" xfId="21431"/>
    <cellStyle name="Note 5 2 7" xfId="18393"/>
    <cellStyle name="Note 5 2 8" xfId="18832"/>
    <cellStyle name="Note 5 3" xfId="18394"/>
    <cellStyle name="Note 5 3 2" xfId="18395"/>
    <cellStyle name="Note 5 3 2 2" xfId="18396"/>
    <cellStyle name="Note 5 3 2 2 2" xfId="18397"/>
    <cellStyle name="Note 5 3 2 2 2 2" xfId="18398"/>
    <cellStyle name="Note 5 3 2 2 2 2 2" xfId="18399"/>
    <cellStyle name="Note 5 3 2 2 2 2 3" xfId="23769"/>
    <cellStyle name="Note 5 3 2 2 2 3" xfId="18400"/>
    <cellStyle name="Note 5 3 2 2 2 4" xfId="21186"/>
    <cellStyle name="Note 5 3 2 2 3" xfId="18401"/>
    <cellStyle name="Note 5 3 2 2 3 2" xfId="18402"/>
    <cellStyle name="Note 5 3 2 2 3 3" xfId="22479"/>
    <cellStyle name="Note 5 3 2 2 4" xfId="18403"/>
    <cellStyle name="Note 5 3 2 2 5" xfId="19892"/>
    <cellStyle name="Note 5 3 2 3" xfId="18404"/>
    <cellStyle name="Note 5 3 2 3 2" xfId="18405"/>
    <cellStyle name="Note 5 3 2 3 2 2" xfId="18406"/>
    <cellStyle name="Note 5 3 2 3 2 3" xfId="23124"/>
    <cellStyle name="Note 5 3 2 3 3" xfId="18407"/>
    <cellStyle name="Note 5 3 2 3 4" xfId="20541"/>
    <cellStyle name="Note 5 3 2 4" xfId="18408"/>
    <cellStyle name="Note 5 3 2 4 2" xfId="18409"/>
    <cellStyle name="Note 5 3 2 4 3" xfId="21834"/>
    <cellStyle name="Note 5 3 2 5" xfId="18410"/>
    <cellStyle name="Note 5 3 2 6" xfId="19244"/>
    <cellStyle name="Note 5 3 3" xfId="18411"/>
    <cellStyle name="Note 5 3 3 2" xfId="18412"/>
    <cellStyle name="Note 5 3 3 2 2" xfId="18413"/>
    <cellStyle name="Note 5 3 3 2 2 2" xfId="18414"/>
    <cellStyle name="Note 5 3 3 2 2 3" xfId="23447"/>
    <cellStyle name="Note 5 3 3 2 3" xfId="18415"/>
    <cellStyle name="Note 5 3 3 2 4" xfId="20864"/>
    <cellStyle name="Note 5 3 3 3" xfId="18416"/>
    <cellStyle name="Note 5 3 3 3 2" xfId="18417"/>
    <cellStyle name="Note 5 3 3 3 3" xfId="22157"/>
    <cellStyle name="Note 5 3 3 4" xfId="18418"/>
    <cellStyle name="Note 5 3 3 5" xfId="19570"/>
    <cellStyle name="Note 5 3 4" xfId="18419"/>
    <cellStyle name="Note 5 3 4 2" xfId="18420"/>
    <cellStyle name="Note 5 3 4 2 2" xfId="18421"/>
    <cellStyle name="Note 5 3 4 2 3" xfId="22802"/>
    <cellStyle name="Note 5 3 4 3" xfId="18422"/>
    <cellStyle name="Note 5 3 4 4" xfId="20219"/>
    <cellStyle name="Note 5 3 5" xfId="18423"/>
    <cellStyle name="Note 5 3 5 2" xfId="18424"/>
    <cellStyle name="Note 5 3 5 3" xfId="21512"/>
    <cellStyle name="Note 5 3 6" xfId="18425"/>
    <cellStyle name="Note 5 3 7" xfId="18918"/>
    <cellStyle name="Note 5 4" xfId="18426"/>
    <cellStyle name="Note 5 4 2" xfId="18427"/>
    <cellStyle name="Note 5 4 2 2" xfId="18428"/>
    <cellStyle name="Note 5 4 2 2 2" xfId="18429"/>
    <cellStyle name="Note 5 4 2 2 2 2" xfId="18430"/>
    <cellStyle name="Note 5 4 2 2 2 3" xfId="23608"/>
    <cellStyle name="Note 5 4 2 2 3" xfId="18431"/>
    <cellStyle name="Note 5 4 2 2 4" xfId="21025"/>
    <cellStyle name="Note 5 4 2 3" xfId="18432"/>
    <cellStyle name="Note 5 4 2 3 2" xfId="18433"/>
    <cellStyle name="Note 5 4 2 3 3" xfId="22318"/>
    <cellStyle name="Note 5 4 2 4" xfId="18434"/>
    <cellStyle name="Note 5 4 2 5" xfId="19731"/>
    <cellStyle name="Note 5 4 3" xfId="18435"/>
    <cellStyle name="Note 5 4 3 2" xfId="18436"/>
    <cellStyle name="Note 5 4 3 2 2" xfId="18437"/>
    <cellStyle name="Note 5 4 3 2 3" xfId="22963"/>
    <cellStyle name="Note 5 4 3 3" xfId="18438"/>
    <cellStyle name="Note 5 4 3 4" xfId="20380"/>
    <cellStyle name="Note 5 4 4" xfId="18439"/>
    <cellStyle name="Note 5 4 4 2" xfId="18440"/>
    <cellStyle name="Note 5 4 4 3" xfId="21673"/>
    <cellStyle name="Note 5 4 5" xfId="18441"/>
    <cellStyle name="Note 5 4 6" xfId="19083"/>
    <cellStyle name="Note 5 5" xfId="18442"/>
    <cellStyle name="Note 5 5 2" xfId="18443"/>
    <cellStyle name="Note 5 5 2 2" xfId="18444"/>
    <cellStyle name="Note 5 5 2 2 2" xfId="18445"/>
    <cellStyle name="Note 5 5 2 2 3" xfId="23285"/>
    <cellStyle name="Note 5 5 2 3" xfId="18446"/>
    <cellStyle name="Note 5 5 2 4" xfId="20702"/>
    <cellStyle name="Note 5 5 3" xfId="18447"/>
    <cellStyle name="Note 5 5 3 2" xfId="18448"/>
    <cellStyle name="Note 5 5 3 3" xfId="21995"/>
    <cellStyle name="Note 5 5 4" xfId="18449"/>
    <cellStyle name="Note 5 5 5" xfId="19409"/>
    <cellStyle name="Note 5 6" xfId="18450"/>
    <cellStyle name="Note 5 6 2" xfId="18451"/>
    <cellStyle name="Note 5 6 2 2" xfId="18452"/>
    <cellStyle name="Note 5 6 2 3" xfId="22640"/>
    <cellStyle name="Note 5 6 3" xfId="18453"/>
    <cellStyle name="Note 5 6 4" xfId="20057"/>
    <cellStyle name="Note 5 7" xfId="18454"/>
    <cellStyle name="Note 5 7 2" xfId="18455"/>
    <cellStyle name="Note 5 7 3" xfId="21350"/>
    <cellStyle name="Note 5 8" xfId="18456"/>
    <cellStyle name="Note 5 9" xfId="18732"/>
    <cellStyle name="Note 6" xfId="18457"/>
    <cellStyle name="Note 6 2" xfId="18458"/>
    <cellStyle name="Note 6 2 2" xfId="18459"/>
    <cellStyle name="Note 6 2 2 2" xfId="18460"/>
    <cellStyle name="Note 6 2 2 2 2" xfId="18461"/>
    <cellStyle name="Note 6 2 2 2 2 2" xfId="18462"/>
    <cellStyle name="Note 6 2 2 2 2 2 2" xfId="18463"/>
    <cellStyle name="Note 6 2 2 2 2 2 3" xfId="23809"/>
    <cellStyle name="Note 6 2 2 2 2 3" xfId="18464"/>
    <cellStyle name="Note 6 2 2 2 2 4" xfId="21226"/>
    <cellStyle name="Note 6 2 2 2 3" xfId="18465"/>
    <cellStyle name="Note 6 2 2 2 3 2" xfId="18466"/>
    <cellStyle name="Note 6 2 2 2 3 3" xfId="22519"/>
    <cellStyle name="Note 6 2 2 2 4" xfId="18467"/>
    <cellStyle name="Note 6 2 2 2 5" xfId="19932"/>
    <cellStyle name="Note 6 2 2 3" xfId="18468"/>
    <cellStyle name="Note 6 2 2 3 2" xfId="18469"/>
    <cellStyle name="Note 6 2 2 3 2 2" xfId="18470"/>
    <cellStyle name="Note 6 2 2 3 2 3" xfId="23164"/>
    <cellStyle name="Note 6 2 2 3 3" xfId="18471"/>
    <cellStyle name="Note 6 2 2 3 4" xfId="20581"/>
    <cellStyle name="Note 6 2 2 4" xfId="18472"/>
    <cellStyle name="Note 6 2 2 4 2" xfId="18473"/>
    <cellStyle name="Note 6 2 2 4 3" xfId="21874"/>
    <cellStyle name="Note 6 2 2 5" xfId="18474"/>
    <cellStyle name="Note 6 2 2 6" xfId="19284"/>
    <cellStyle name="Note 6 2 3" xfId="18475"/>
    <cellStyle name="Note 6 2 3 2" xfId="18476"/>
    <cellStyle name="Note 6 2 3 2 2" xfId="18477"/>
    <cellStyle name="Note 6 2 3 2 2 2" xfId="18478"/>
    <cellStyle name="Note 6 2 3 2 2 3" xfId="23487"/>
    <cellStyle name="Note 6 2 3 2 3" xfId="18479"/>
    <cellStyle name="Note 6 2 3 2 4" xfId="20904"/>
    <cellStyle name="Note 6 2 3 3" xfId="18480"/>
    <cellStyle name="Note 6 2 3 3 2" xfId="18481"/>
    <cellStyle name="Note 6 2 3 3 3" xfId="22197"/>
    <cellStyle name="Note 6 2 3 4" xfId="18482"/>
    <cellStyle name="Note 6 2 3 5" xfId="19610"/>
    <cellStyle name="Note 6 2 4" xfId="18483"/>
    <cellStyle name="Note 6 2 4 2" xfId="18484"/>
    <cellStyle name="Note 6 2 4 2 2" xfId="18485"/>
    <cellStyle name="Note 6 2 4 2 3" xfId="22842"/>
    <cellStyle name="Note 6 2 4 3" xfId="18486"/>
    <cellStyle name="Note 6 2 4 4" xfId="20259"/>
    <cellStyle name="Note 6 2 5" xfId="18487"/>
    <cellStyle name="Note 6 2 5 2" xfId="18488"/>
    <cellStyle name="Note 6 2 5 3" xfId="21552"/>
    <cellStyle name="Note 6 2 6" xfId="18489"/>
    <cellStyle name="Note 6 2 7" xfId="18958"/>
    <cellStyle name="Note 6 3" xfId="18490"/>
    <cellStyle name="Note 6 3 2" xfId="18491"/>
    <cellStyle name="Note 6 3 2 2" xfId="18492"/>
    <cellStyle name="Note 6 3 2 2 2" xfId="18493"/>
    <cellStyle name="Note 6 3 2 2 2 2" xfId="18494"/>
    <cellStyle name="Note 6 3 2 2 2 3" xfId="23648"/>
    <cellStyle name="Note 6 3 2 2 3" xfId="18495"/>
    <cellStyle name="Note 6 3 2 2 4" xfId="21065"/>
    <cellStyle name="Note 6 3 2 3" xfId="18496"/>
    <cellStyle name="Note 6 3 2 3 2" xfId="18497"/>
    <cellStyle name="Note 6 3 2 3 3" xfId="22358"/>
    <cellStyle name="Note 6 3 2 4" xfId="18498"/>
    <cellStyle name="Note 6 3 2 5" xfId="19771"/>
    <cellStyle name="Note 6 3 3" xfId="18499"/>
    <cellStyle name="Note 6 3 3 2" xfId="18500"/>
    <cellStyle name="Note 6 3 3 2 2" xfId="18501"/>
    <cellStyle name="Note 6 3 3 2 3" xfId="23003"/>
    <cellStyle name="Note 6 3 3 3" xfId="18502"/>
    <cellStyle name="Note 6 3 3 4" xfId="20420"/>
    <cellStyle name="Note 6 3 4" xfId="18503"/>
    <cellStyle name="Note 6 3 4 2" xfId="18504"/>
    <cellStyle name="Note 6 3 4 3" xfId="21713"/>
    <cellStyle name="Note 6 3 5" xfId="18505"/>
    <cellStyle name="Note 6 3 6" xfId="19123"/>
    <cellStyle name="Note 6 4" xfId="18506"/>
    <cellStyle name="Note 6 4 2" xfId="18507"/>
    <cellStyle name="Note 6 4 2 2" xfId="18508"/>
    <cellStyle name="Note 6 4 2 2 2" xfId="18509"/>
    <cellStyle name="Note 6 4 2 2 3" xfId="23325"/>
    <cellStyle name="Note 6 4 2 3" xfId="18510"/>
    <cellStyle name="Note 6 4 2 4" xfId="20742"/>
    <cellStyle name="Note 6 4 3" xfId="18511"/>
    <cellStyle name="Note 6 4 3 2" xfId="18512"/>
    <cellStyle name="Note 6 4 3 3" xfId="22035"/>
    <cellStyle name="Note 6 4 4" xfId="18513"/>
    <cellStyle name="Note 6 4 5" xfId="19449"/>
    <cellStyle name="Note 6 5" xfId="18514"/>
    <cellStyle name="Note 6 5 2" xfId="18515"/>
    <cellStyle name="Note 6 5 2 2" xfId="18516"/>
    <cellStyle name="Note 6 5 2 3" xfId="22680"/>
    <cellStyle name="Note 6 5 3" xfId="18517"/>
    <cellStyle name="Note 6 5 4" xfId="20097"/>
    <cellStyle name="Note 6 6" xfId="18518"/>
    <cellStyle name="Note 6 6 2" xfId="18519"/>
    <cellStyle name="Note 6 6 3" xfId="21390"/>
    <cellStyle name="Note 6 7" xfId="18520"/>
    <cellStyle name="Note 6 8" xfId="18785"/>
    <cellStyle name="Note 7" xfId="18521"/>
    <cellStyle name="Note 7 2" xfId="18522"/>
    <cellStyle name="Note 7 2 2" xfId="18523"/>
    <cellStyle name="Note 7 2 2 2" xfId="18524"/>
    <cellStyle name="Note 7 2 2 2 2" xfId="18525"/>
    <cellStyle name="Note 7 2 2 2 2 2" xfId="18526"/>
    <cellStyle name="Note 7 2 2 2 2 3" xfId="23728"/>
    <cellStyle name="Note 7 2 2 2 3" xfId="18527"/>
    <cellStyle name="Note 7 2 2 2 4" xfId="21145"/>
    <cellStyle name="Note 7 2 2 3" xfId="18528"/>
    <cellStyle name="Note 7 2 2 3 2" xfId="18529"/>
    <cellStyle name="Note 7 2 2 3 3" xfId="22438"/>
    <cellStyle name="Note 7 2 2 4" xfId="18530"/>
    <cellStyle name="Note 7 2 2 5" xfId="19851"/>
    <cellStyle name="Note 7 2 3" xfId="18531"/>
    <cellStyle name="Note 7 2 3 2" xfId="18532"/>
    <cellStyle name="Note 7 2 3 2 2" xfId="18533"/>
    <cellStyle name="Note 7 2 3 2 3" xfId="23083"/>
    <cellStyle name="Note 7 2 3 3" xfId="18534"/>
    <cellStyle name="Note 7 2 3 4" xfId="20500"/>
    <cellStyle name="Note 7 2 4" xfId="18535"/>
    <cellStyle name="Note 7 2 4 2" xfId="18536"/>
    <cellStyle name="Note 7 2 4 3" xfId="21793"/>
    <cellStyle name="Note 7 2 5" xfId="18537"/>
    <cellStyle name="Note 7 2 6" xfId="19203"/>
    <cellStyle name="Note 7 3" xfId="18538"/>
    <cellStyle name="Note 7 3 2" xfId="18539"/>
    <cellStyle name="Note 7 3 2 2" xfId="18540"/>
    <cellStyle name="Note 7 3 2 2 2" xfId="18541"/>
    <cellStyle name="Note 7 3 2 2 3" xfId="23406"/>
    <cellStyle name="Note 7 3 2 3" xfId="18542"/>
    <cellStyle name="Note 7 3 2 4" xfId="20823"/>
    <cellStyle name="Note 7 3 3" xfId="18543"/>
    <cellStyle name="Note 7 3 3 2" xfId="18544"/>
    <cellStyle name="Note 7 3 3 3" xfId="22116"/>
    <cellStyle name="Note 7 3 4" xfId="18545"/>
    <cellStyle name="Note 7 3 5" xfId="19529"/>
    <cellStyle name="Note 7 4" xfId="18546"/>
    <cellStyle name="Note 7 4 2" xfId="18547"/>
    <cellStyle name="Note 7 4 2 2" xfId="18548"/>
    <cellStyle name="Note 7 4 2 3" xfId="22761"/>
    <cellStyle name="Note 7 4 3" xfId="18549"/>
    <cellStyle name="Note 7 4 4" xfId="20178"/>
    <cellStyle name="Note 7 5" xfId="18550"/>
    <cellStyle name="Note 7 5 2" xfId="18551"/>
    <cellStyle name="Note 7 5 3" xfId="21471"/>
    <cellStyle name="Note 7 6" xfId="18552"/>
    <cellStyle name="Note 7 7" xfId="18873"/>
    <cellStyle name="Note 8" xfId="18553"/>
    <cellStyle name="Note 8 2" xfId="18554"/>
    <cellStyle name="Note 8 2 2" xfId="18555"/>
    <cellStyle name="Note 8 2 2 2" xfId="18556"/>
    <cellStyle name="Note 8 2 2 2 2" xfId="18557"/>
    <cellStyle name="Note 8 2 2 2 3" xfId="23567"/>
    <cellStyle name="Note 8 2 2 3" xfId="18558"/>
    <cellStyle name="Note 8 2 2 4" xfId="20984"/>
    <cellStyle name="Note 8 2 3" xfId="18559"/>
    <cellStyle name="Note 8 2 3 2" xfId="18560"/>
    <cellStyle name="Note 8 2 3 3" xfId="22277"/>
    <cellStyle name="Note 8 2 4" xfId="18561"/>
    <cellStyle name="Note 8 2 5" xfId="19690"/>
    <cellStyle name="Note 8 3" xfId="18562"/>
    <cellStyle name="Note 8 3 2" xfId="18563"/>
    <cellStyle name="Note 8 3 2 2" xfId="18564"/>
    <cellStyle name="Note 8 3 2 3" xfId="22922"/>
    <cellStyle name="Note 8 3 3" xfId="18565"/>
    <cellStyle name="Note 8 3 4" xfId="20339"/>
    <cellStyle name="Note 8 4" xfId="18566"/>
    <cellStyle name="Note 8 4 2" xfId="18567"/>
    <cellStyle name="Note 8 4 3" xfId="21632"/>
    <cellStyle name="Note 8 5" xfId="18568"/>
    <cellStyle name="Note 8 6" xfId="19038"/>
    <cellStyle name="Note 9" xfId="18569"/>
    <cellStyle name="Note 9 2" xfId="18570"/>
    <cellStyle name="Note 9 2 2" xfId="18571"/>
    <cellStyle name="Note 9 2 2 2" xfId="18572"/>
    <cellStyle name="Note 9 2 2 3" xfId="23244"/>
    <cellStyle name="Note 9 2 3" xfId="18573"/>
    <cellStyle name="Note 9 2 4" xfId="20661"/>
    <cellStyle name="Note 9 3" xfId="18574"/>
    <cellStyle name="Note 9 3 2" xfId="18575"/>
    <cellStyle name="Note 9 3 3" xfId="21954"/>
    <cellStyle name="Note 9 4" xfId="18576"/>
    <cellStyle name="Note 9 5" xfId="19364"/>
    <cellStyle name="Output 2" xfId="18577"/>
    <cellStyle name="Output 2 2" xfId="18668"/>
    <cellStyle name="Output 3" xfId="18603"/>
    <cellStyle name="Percent 2" xfId="5"/>
    <cellStyle name="Title 2" xfId="18578"/>
    <cellStyle name="Title 2 2" xfId="18669"/>
    <cellStyle name="Title 3" xfId="18594"/>
    <cellStyle name="Total 10" xfId="18579"/>
    <cellStyle name="Total 10 2" xfId="19051"/>
    <cellStyle name="Total 11" xfId="18580"/>
    <cellStyle name="Total 11 2" xfId="19377"/>
    <cellStyle name="Total 12" xfId="18581"/>
    <cellStyle name="Total 12 2" xfId="20025"/>
    <cellStyle name="Total 13" xfId="18582"/>
    <cellStyle name="Total 13 2" xfId="21318"/>
    <cellStyle name="Total 14" xfId="18583"/>
    <cellStyle name="Total 15" xfId="18610"/>
    <cellStyle name="Total 2" xfId="18584"/>
    <cellStyle name="Total 2 2" xfId="18689"/>
    <cellStyle name="Total 2 3" xfId="18670"/>
    <cellStyle name="Total 3" xfId="18585"/>
    <cellStyle name="Total 3 2" xfId="18698"/>
    <cellStyle name="Total 4" xfId="18586"/>
    <cellStyle name="Total 4 2" xfId="18694"/>
    <cellStyle name="Total 5" xfId="18587"/>
    <cellStyle name="Total 5 2" xfId="18706"/>
    <cellStyle name="Total 6" xfId="18588"/>
    <cellStyle name="Total 6 2" xfId="18720"/>
    <cellStyle name="Total 7" xfId="18589"/>
    <cellStyle name="Total 7 2" xfId="18744"/>
    <cellStyle name="Total 8" xfId="18590"/>
    <cellStyle name="Total 8 2" xfId="18684"/>
    <cellStyle name="Total 9" xfId="18591"/>
    <cellStyle name="Total 9 2" xfId="18886"/>
    <cellStyle name="Warning Text 2" xfId="18592"/>
    <cellStyle name="Warning Text 2 2" xfId="18671"/>
    <cellStyle name="Warning Text 3" xfId="18607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13"/>
  <sheetViews>
    <sheetView rightToLeft="1" tabSelected="1" zoomScale="70" zoomScaleNormal="70" workbookViewId="0">
      <selection activeCell="C3" sqref="C3:C5"/>
    </sheetView>
  </sheetViews>
  <sheetFormatPr defaultRowHeight="30" customHeight="1"/>
  <cols>
    <col min="1" max="1" width="9.140625" style="52"/>
    <col min="2" max="2" width="120.28515625" style="52" customWidth="1"/>
    <col min="3" max="3" width="16.85546875" style="52" customWidth="1"/>
    <col min="4" max="4" width="125.140625" style="52" customWidth="1"/>
    <col min="5" max="256" width="9.140625" style="52"/>
    <col min="257" max="257" width="9.140625" style="52" customWidth="1"/>
    <col min="258" max="258" width="102.42578125" style="52" customWidth="1"/>
    <col min="259" max="259" width="4.85546875" style="52" customWidth="1"/>
    <col min="260" max="260" width="18.7109375" style="52" bestFit="1" customWidth="1"/>
    <col min="261" max="512" width="9.140625" style="52"/>
    <col min="513" max="513" width="9.140625" style="52" customWidth="1"/>
    <col min="514" max="514" width="102.42578125" style="52" customWidth="1"/>
    <col min="515" max="515" width="4.85546875" style="52" customWidth="1"/>
    <col min="516" max="516" width="18.7109375" style="52" bestFit="1" customWidth="1"/>
    <col min="517" max="768" width="9.140625" style="52"/>
    <col min="769" max="769" width="9.140625" style="52" customWidth="1"/>
    <col min="770" max="770" width="102.42578125" style="52" customWidth="1"/>
    <col min="771" max="771" width="4.85546875" style="52" customWidth="1"/>
    <col min="772" max="772" width="18.7109375" style="52" bestFit="1" customWidth="1"/>
    <col min="773" max="1024" width="9.140625" style="52"/>
    <col min="1025" max="1025" width="9.140625" style="52" customWidth="1"/>
    <col min="1026" max="1026" width="102.42578125" style="52" customWidth="1"/>
    <col min="1027" max="1027" width="4.85546875" style="52" customWidth="1"/>
    <col min="1028" max="1028" width="18.7109375" style="52" bestFit="1" customWidth="1"/>
    <col min="1029" max="1280" width="9.140625" style="52"/>
    <col min="1281" max="1281" width="9.140625" style="52" customWidth="1"/>
    <col min="1282" max="1282" width="102.42578125" style="52" customWidth="1"/>
    <col min="1283" max="1283" width="4.85546875" style="52" customWidth="1"/>
    <col min="1284" max="1284" width="18.7109375" style="52" bestFit="1" customWidth="1"/>
    <col min="1285" max="1536" width="9.140625" style="52"/>
    <col min="1537" max="1537" width="9.140625" style="52" customWidth="1"/>
    <col min="1538" max="1538" width="102.42578125" style="52" customWidth="1"/>
    <col min="1539" max="1539" width="4.85546875" style="52" customWidth="1"/>
    <col min="1540" max="1540" width="18.7109375" style="52" bestFit="1" customWidth="1"/>
    <col min="1541" max="1792" width="9.140625" style="52"/>
    <col min="1793" max="1793" width="9.140625" style="52" customWidth="1"/>
    <col min="1794" max="1794" width="102.42578125" style="52" customWidth="1"/>
    <col min="1795" max="1795" width="4.85546875" style="52" customWidth="1"/>
    <col min="1796" max="1796" width="18.7109375" style="52" bestFit="1" customWidth="1"/>
    <col min="1797" max="2048" width="9.140625" style="52"/>
    <col min="2049" max="2049" width="9.140625" style="52" customWidth="1"/>
    <col min="2050" max="2050" width="102.42578125" style="52" customWidth="1"/>
    <col min="2051" max="2051" width="4.85546875" style="52" customWidth="1"/>
    <col min="2052" max="2052" width="18.7109375" style="52" bestFit="1" customWidth="1"/>
    <col min="2053" max="2304" width="9.140625" style="52"/>
    <col min="2305" max="2305" width="9.140625" style="52" customWidth="1"/>
    <col min="2306" max="2306" width="102.42578125" style="52" customWidth="1"/>
    <col min="2307" max="2307" width="4.85546875" style="52" customWidth="1"/>
    <col min="2308" max="2308" width="18.7109375" style="52" bestFit="1" customWidth="1"/>
    <col min="2309" max="2560" width="9.140625" style="52"/>
    <col min="2561" max="2561" width="9.140625" style="52" customWidth="1"/>
    <col min="2562" max="2562" width="102.42578125" style="52" customWidth="1"/>
    <col min="2563" max="2563" width="4.85546875" style="52" customWidth="1"/>
    <col min="2564" max="2564" width="18.7109375" style="52" bestFit="1" customWidth="1"/>
    <col min="2565" max="2816" width="9.140625" style="52"/>
    <col min="2817" max="2817" width="9.140625" style="52" customWidth="1"/>
    <col min="2818" max="2818" width="102.42578125" style="52" customWidth="1"/>
    <col min="2819" max="2819" width="4.85546875" style="52" customWidth="1"/>
    <col min="2820" max="2820" width="18.7109375" style="52" bestFit="1" customWidth="1"/>
    <col min="2821" max="3072" width="9.140625" style="52"/>
    <col min="3073" max="3073" width="9.140625" style="52" customWidth="1"/>
    <col min="3074" max="3074" width="102.42578125" style="52" customWidth="1"/>
    <col min="3075" max="3075" width="4.85546875" style="52" customWidth="1"/>
    <col min="3076" max="3076" width="18.7109375" style="52" bestFit="1" customWidth="1"/>
    <col min="3077" max="3328" width="9.140625" style="52"/>
    <col min="3329" max="3329" width="9.140625" style="52" customWidth="1"/>
    <col min="3330" max="3330" width="102.42578125" style="52" customWidth="1"/>
    <col min="3331" max="3331" width="4.85546875" style="52" customWidth="1"/>
    <col min="3332" max="3332" width="18.7109375" style="52" bestFit="1" customWidth="1"/>
    <col min="3333" max="3584" width="9.140625" style="52"/>
    <col min="3585" max="3585" width="9.140625" style="52" customWidth="1"/>
    <col min="3586" max="3586" width="102.42578125" style="52" customWidth="1"/>
    <col min="3587" max="3587" width="4.85546875" style="52" customWidth="1"/>
    <col min="3588" max="3588" width="18.7109375" style="52" bestFit="1" customWidth="1"/>
    <col min="3589" max="3840" width="9.140625" style="52"/>
    <col min="3841" max="3841" width="9.140625" style="52" customWidth="1"/>
    <col min="3842" max="3842" width="102.42578125" style="52" customWidth="1"/>
    <col min="3843" max="3843" width="4.85546875" style="52" customWidth="1"/>
    <col min="3844" max="3844" width="18.7109375" style="52" bestFit="1" customWidth="1"/>
    <col min="3845" max="4096" width="9.140625" style="52"/>
    <col min="4097" max="4097" width="9.140625" style="52" customWidth="1"/>
    <col min="4098" max="4098" width="102.42578125" style="52" customWidth="1"/>
    <col min="4099" max="4099" width="4.85546875" style="52" customWidth="1"/>
    <col min="4100" max="4100" width="18.7109375" style="52" bestFit="1" customWidth="1"/>
    <col min="4101" max="4352" width="9.140625" style="52"/>
    <col min="4353" max="4353" width="9.140625" style="52" customWidth="1"/>
    <col min="4354" max="4354" width="102.42578125" style="52" customWidth="1"/>
    <col min="4355" max="4355" width="4.85546875" style="52" customWidth="1"/>
    <col min="4356" max="4356" width="18.7109375" style="52" bestFit="1" customWidth="1"/>
    <col min="4357" max="4608" width="9.140625" style="52"/>
    <col min="4609" max="4609" width="9.140625" style="52" customWidth="1"/>
    <col min="4610" max="4610" width="102.42578125" style="52" customWidth="1"/>
    <col min="4611" max="4611" width="4.85546875" style="52" customWidth="1"/>
    <col min="4612" max="4612" width="18.7109375" style="52" bestFit="1" customWidth="1"/>
    <col min="4613" max="4864" width="9.140625" style="52"/>
    <col min="4865" max="4865" width="9.140625" style="52" customWidth="1"/>
    <col min="4866" max="4866" width="102.42578125" style="52" customWidth="1"/>
    <col min="4867" max="4867" width="4.85546875" style="52" customWidth="1"/>
    <col min="4868" max="4868" width="18.7109375" style="52" bestFit="1" customWidth="1"/>
    <col min="4869" max="5120" width="9.140625" style="52"/>
    <col min="5121" max="5121" width="9.140625" style="52" customWidth="1"/>
    <col min="5122" max="5122" width="102.42578125" style="52" customWidth="1"/>
    <col min="5123" max="5123" width="4.85546875" style="52" customWidth="1"/>
    <col min="5124" max="5124" width="18.7109375" style="52" bestFit="1" customWidth="1"/>
    <col min="5125" max="5376" width="9.140625" style="52"/>
    <col min="5377" max="5377" width="9.140625" style="52" customWidth="1"/>
    <col min="5378" max="5378" width="102.42578125" style="52" customWidth="1"/>
    <col min="5379" max="5379" width="4.85546875" style="52" customWidth="1"/>
    <col min="5380" max="5380" width="18.7109375" style="52" bestFit="1" customWidth="1"/>
    <col min="5381" max="5632" width="9.140625" style="52"/>
    <col min="5633" max="5633" width="9.140625" style="52" customWidth="1"/>
    <col min="5634" max="5634" width="102.42578125" style="52" customWidth="1"/>
    <col min="5635" max="5635" width="4.85546875" style="52" customWidth="1"/>
    <col min="5636" max="5636" width="18.7109375" style="52" bestFit="1" customWidth="1"/>
    <col min="5637" max="5888" width="9.140625" style="52"/>
    <col min="5889" max="5889" width="9.140625" style="52" customWidth="1"/>
    <col min="5890" max="5890" width="102.42578125" style="52" customWidth="1"/>
    <col min="5891" max="5891" width="4.85546875" style="52" customWidth="1"/>
    <col min="5892" max="5892" width="18.7109375" style="52" bestFit="1" customWidth="1"/>
    <col min="5893" max="6144" width="9.140625" style="52"/>
    <col min="6145" max="6145" width="9.140625" style="52" customWidth="1"/>
    <col min="6146" max="6146" width="102.42578125" style="52" customWidth="1"/>
    <col min="6147" max="6147" width="4.85546875" style="52" customWidth="1"/>
    <col min="6148" max="6148" width="18.7109375" style="52" bestFit="1" customWidth="1"/>
    <col min="6149" max="6400" width="9.140625" style="52"/>
    <col min="6401" max="6401" width="9.140625" style="52" customWidth="1"/>
    <col min="6402" max="6402" width="102.42578125" style="52" customWidth="1"/>
    <col min="6403" max="6403" width="4.85546875" style="52" customWidth="1"/>
    <col min="6404" max="6404" width="18.7109375" style="52" bestFit="1" customWidth="1"/>
    <col min="6405" max="6656" width="9.140625" style="52"/>
    <col min="6657" max="6657" width="9.140625" style="52" customWidth="1"/>
    <col min="6658" max="6658" width="102.42578125" style="52" customWidth="1"/>
    <col min="6659" max="6659" width="4.85546875" style="52" customWidth="1"/>
    <col min="6660" max="6660" width="18.7109375" style="52" bestFit="1" customWidth="1"/>
    <col min="6661" max="6912" width="9.140625" style="52"/>
    <col min="6913" max="6913" width="9.140625" style="52" customWidth="1"/>
    <col min="6914" max="6914" width="102.42578125" style="52" customWidth="1"/>
    <col min="6915" max="6915" width="4.85546875" style="52" customWidth="1"/>
    <col min="6916" max="6916" width="18.7109375" style="52" bestFit="1" customWidth="1"/>
    <col min="6917" max="7168" width="9.140625" style="52"/>
    <col min="7169" max="7169" width="9.140625" style="52" customWidth="1"/>
    <col min="7170" max="7170" width="102.42578125" style="52" customWidth="1"/>
    <col min="7171" max="7171" width="4.85546875" style="52" customWidth="1"/>
    <col min="7172" max="7172" width="18.7109375" style="52" bestFit="1" customWidth="1"/>
    <col min="7173" max="7424" width="9.140625" style="52"/>
    <col min="7425" max="7425" width="9.140625" style="52" customWidth="1"/>
    <col min="7426" max="7426" width="102.42578125" style="52" customWidth="1"/>
    <col min="7427" max="7427" width="4.85546875" style="52" customWidth="1"/>
    <col min="7428" max="7428" width="18.7109375" style="52" bestFit="1" customWidth="1"/>
    <col min="7429" max="7680" width="9.140625" style="52"/>
    <col min="7681" max="7681" width="9.140625" style="52" customWidth="1"/>
    <col min="7682" max="7682" width="102.42578125" style="52" customWidth="1"/>
    <col min="7683" max="7683" width="4.85546875" style="52" customWidth="1"/>
    <col min="7684" max="7684" width="18.7109375" style="52" bestFit="1" customWidth="1"/>
    <col min="7685" max="7936" width="9.140625" style="52"/>
    <col min="7937" max="7937" width="9.140625" style="52" customWidth="1"/>
    <col min="7938" max="7938" width="102.42578125" style="52" customWidth="1"/>
    <col min="7939" max="7939" width="4.85546875" style="52" customWidth="1"/>
    <col min="7940" max="7940" width="18.7109375" style="52" bestFit="1" customWidth="1"/>
    <col min="7941" max="8192" width="9.140625" style="52"/>
    <col min="8193" max="8193" width="9.140625" style="52" customWidth="1"/>
    <col min="8194" max="8194" width="102.42578125" style="52" customWidth="1"/>
    <col min="8195" max="8195" width="4.85546875" style="52" customWidth="1"/>
    <col min="8196" max="8196" width="18.7109375" style="52" bestFit="1" customWidth="1"/>
    <col min="8197" max="8448" width="9.140625" style="52"/>
    <col min="8449" max="8449" width="9.140625" style="52" customWidth="1"/>
    <col min="8450" max="8450" width="102.42578125" style="52" customWidth="1"/>
    <col min="8451" max="8451" width="4.85546875" style="52" customWidth="1"/>
    <col min="8452" max="8452" width="18.7109375" style="52" bestFit="1" customWidth="1"/>
    <col min="8453" max="8704" width="9.140625" style="52"/>
    <col min="8705" max="8705" width="9.140625" style="52" customWidth="1"/>
    <col min="8706" max="8706" width="102.42578125" style="52" customWidth="1"/>
    <col min="8707" max="8707" width="4.85546875" style="52" customWidth="1"/>
    <col min="8708" max="8708" width="18.7109375" style="52" bestFit="1" customWidth="1"/>
    <col min="8709" max="8960" width="9.140625" style="52"/>
    <col min="8961" max="8961" width="9.140625" style="52" customWidth="1"/>
    <col min="8962" max="8962" width="102.42578125" style="52" customWidth="1"/>
    <col min="8963" max="8963" width="4.85546875" style="52" customWidth="1"/>
    <col min="8964" max="8964" width="18.7109375" style="52" bestFit="1" customWidth="1"/>
    <col min="8965" max="9216" width="9.140625" style="52"/>
    <col min="9217" max="9217" width="9.140625" style="52" customWidth="1"/>
    <col min="9218" max="9218" width="102.42578125" style="52" customWidth="1"/>
    <col min="9219" max="9219" width="4.85546875" style="52" customWidth="1"/>
    <col min="9220" max="9220" width="18.7109375" style="52" bestFit="1" customWidth="1"/>
    <col min="9221" max="9472" width="9.140625" style="52"/>
    <col min="9473" max="9473" width="9.140625" style="52" customWidth="1"/>
    <col min="9474" max="9474" width="102.42578125" style="52" customWidth="1"/>
    <col min="9475" max="9475" width="4.85546875" style="52" customWidth="1"/>
    <col min="9476" max="9476" width="18.7109375" style="52" bestFit="1" customWidth="1"/>
    <col min="9477" max="9728" width="9.140625" style="52"/>
    <col min="9729" max="9729" width="9.140625" style="52" customWidth="1"/>
    <col min="9730" max="9730" width="102.42578125" style="52" customWidth="1"/>
    <col min="9731" max="9731" width="4.85546875" style="52" customWidth="1"/>
    <col min="9732" max="9732" width="18.7109375" style="52" bestFit="1" customWidth="1"/>
    <col min="9733" max="9984" width="9.140625" style="52"/>
    <col min="9985" max="9985" width="9.140625" style="52" customWidth="1"/>
    <col min="9986" max="9986" width="102.42578125" style="52" customWidth="1"/>
    <col min="9987" max="9987" width="4.85546875" style="52" customWidth="1"/>
    <col min="9988" max="9988" width="18.7109375" style="52" bestFit="1" customWidth="1"/>
    <col min="9989" max="10240" width="9.140625" style="52"/>
    <col min="10241" max="10241" width="9.140625" style="52" customWidth="1"/>
    <col min="10242" max="10242" width="102.42578125" style="52" customWidth="1"/>
    <col min="10243" max="10243" width="4.85546875" style="52" customWidth="1"/>
    <col min="10244" max="10244" width="18.7109375" style="52" bestFit="1" customWidth="1"/>
    <col min="10245" max="10496" width="9.140625" style="52"/>
    <col min="10497" max="10497" width="9.140625" style="52" customWidth="1"/>
    <col min="10498" max="10498" width="102.42578125" style="52" customWidth="1"/>
    <col min="10499" max="10499" width="4.85546875" style="52" customWidth="1"/>
    <col min="10500" max="10500" width="18.7109375" style="52" bestFit="1" customWidth="1"/>
    <col min="10501" max="10752" width="9.140625" style="52"/>
    <col min="10753" max="10753" width="9.140625" style="52" customWidth="1"/>
    <col min="10754" max="10754" width="102.42578125" style="52" customWidth="1"/>
    <col min="10755" max="10755" width="4.85546875" style="52" customWidth="1"/>
    <col min="10756" max="10756" width="18.7109375" style="52" bestFit="1" customWidth="1"/>
    <col min="10757" max="11008" width="9.140625" style="52"/>
    <col min="11009" max="11009" width="9.140625" style="52" customWidth="1"/>
    <col min="11010" max="11010" width="102.42578125" style="52" customWidth="1"/>
    <col min="11011" max="11011" width="4.85546875" style="52" customWidth="1"/>
    <col min="11012" max="11012" width="18.7109375" style="52" bestFit="1" customWidth="1"/>
    <col min="11013" max="11264" width="9.140625" style="52"/>
    <col min="11265" max="11265" width="9.140625" style="52" customWidth="1"/>
    <col min="11266" max="11266" width="102.42578125" style="52" customWidth="1"/>
    <col min="11267" max="11267" width="4.85546875" style="52" customWidth="1"/>
    <col min="11268" max="11268" width="18.7109375" style="52" bestFit="1" customWidth="1"/>
    <col min="11269" max="11520" width="9.140625" style="52"/>
    <col min="11521" max="11521" width="9.140625" style="52" customWidth="1"/>
    <col min="11522" max="11522" width="102.42578125" style="52" customWidth="1"/>
    <col min="11523" max="11523" width="4.85546875" style="52" customWidth="1"/>
    <col min="11524" max="11524" width="18.7109375" style="52" bestFit="1" customWidth="1"/>
    <col min="11525" max="11776" width="9.140625" style="52"/>
    <col min="11777" max="11777" width="9.140625" style="52" customWidth="1"/>
    <col min="11778" max="11778" width="102.42578125" style="52" customWidth="1"/>
    <col min="11779" max="11779" width="4.85546875" style="52" customWidth="1"/>
    <col min="11780" max="11780" width="18.7109375" style="52" bestFit="1" customWidth="1"/>
    <col min="11781" max="12032" width="9.140625" style="52"/>
    <col min="12033" max="12033" width="9.140625" style="52" customWidth="1"/>
    <col min="12034" max="12034" width="102.42578125" style="52" customWidth="1"/>
    <col min="12035" max="12035" width="4.85546875" style="52" customWidth="1"/>
    <col min="12036" max="12036" width="18.7109375" style="52" bestFit="1" customWidth="1"/>
    <col min="12037" max="12288" width="9.140625" style="52"/>
    <col min="12289" max="12289" width="9.140625" style="52" customWidth="1"/>
    <col min="12290" max="12290" width="102.42578125" style="52" customWidth="1"/>
    <col min="12291" max="12291" width="4.85546875" style="52" customWidth="1"/>
    <col min="12292" max="12292" width="18.7109375" style="52" bestFit="1" customWidth="1"/>
    <col min="12293" max="12544" width="9.140625" style="52"/>
    <col min="12545" max="12545" width="9.140625" style="52" customWidth="1"/>
    <col min="12546" max="12546" width="102.42578125" style="52" customWidth="1"/>
    <col min="12547" max="12547" width="4.85546875" style="52" customWidth="1"/>
    <col min="12548" max="12548" width="18.7109375" style="52" bestFit="1" customWidth="1"/>
    <col min="12549" max="12800" width="9.140625" style="52"/>
    <col min="12801" max="12801" width="9.140625" style="52" customWidth="1"/>
    <col min="12802" max="12802" width="102.42578125" style="52" customWidth="1"/>
    <col min="12803" max="12803" width="4.85546875" style="52" customWidth="1"/>
    <col min="12804" max="12804" width="18.7109375" style="52" bestFit="1" customWidth="1"/>
    <col min="12805" max="13056" width="9.140625" style="52"/>
    <col min="13057" max="13057" width="9.140625" style="52" customWidth="1"/>
    <col min="13058" max="13058" width="102.42578125" style="52" customWidth="1"/>
    <col min="13059" max="13059" width="4.85546875" style="52" customWidth="1"/>
    <col min="13060" max="13060" width="18.7109375" style="52" bestFit="1" customWidth="1"/>
    <col min="13061" max="13312" width="9.140625" style="52"/>
    <col min="13313" max="13313" width="9.140625" style="52" customWidth="1"/>
    <col min="13314" max="13314" width="102.42578125" style="52" customWidth="1"/>
    <col min="13315" max="13315" width="4.85546875" style="52" customWidth="1"/>
    <col min="13316" max="13316" width="18.7109375" style="52" bestFit="1" customWidth="1"/>
    <col min="13317" max="13568" width="9.140625" style="52"/>
    <col min="13569" max="13569" width="9.140625" style="52" customWidth="1"/>
    <col min="13570" max="13570" width="102.42578125" style="52" customWidth="1"/>
    <col min="13571" max="13571" width="4.85546875" style="52" customWidth="1"/>
    <col min="13572" max="13572" width="18.7109375" style="52" bestFit="1" customWidth="1"/>
    <col min="13573" max="13824" width="9.140625" style="52"/>
    <col min="13825" max="13825" width="9.140625" style="52" customWidth="1"/>
    <col min="13826" max="13826" width="102.42578125" style="52" customWidth="1"/>
    <col min="13827" max="13827" width="4.85546875" style="52" customWidth="1"/>
    <col min="13828" max="13828" width="18.7109375" style="52" bestFit="1" customWidth="1"/>
    <col min="13829" max="14080" width="9.140625" style="52"/>
    <col min="14081" max="14081" width="9.140625" style="52" customWidth="1"/>
    <col min="14082" max="14082" width="102.42578125" style="52" customWidth="1"/>
    <col min="14083" max="14083" width="4.85546875" style="52" customWidth="1"/>
    <col min="14084" max="14084" width="18.7109375" style="52" bestFit="1" customWidth="1"/>
    <col min="14085" max="14336" width="9.140625" style="52"/>
    <col min="14337" max="14337" width="9.140625" style="52" customWidth="1"/>
    <col min="14338" max="14338" width="102.42578125" style="52" customWidth="1"/>
    <col min="14339" max="14339" width="4.85546875" style="52" customWidth="1"/>
    <col min="14340" max="14340" width="18.7109375" style="52" bestFit="1" customWidth="1"/>
    <col min="14341" max="14592" width="9.140625" style="52"/>
    <col min="14593" max="14593" width="9.140625" style="52" customWidth="1"/>
    <col min="14594" max="14594" width="102.42578125" style="52" customWidth="1"/>
    <col min="14595" max="14595" width="4.85546875" style="52" customWidth="1"/>
    <col min="14596" max="14596" width="18.7109375" style="52" bestFit="1" customWidth="1"/>
    <col min="14597" max="14848" width="9.140625" style="52"/>
    <col min="14849" max="14849" width="9.140625" style="52" customWidth="1"/>
    <col min="14850" max="14850" width="102.42578125" style="52" customWidth="1"/>
    <col min="14851" max="14851" width="4.85546875" style="52" customWidth="1"/>
    <col min="14852" max="14852" width="18.7109375" style="52" bestFit="1" customWidth="1"/>
    <col min="14853" max="15104" width="9.140625" style="52"/>
    <col min="15105" max="15105" width="9.140625" style="52" customWidth="1"/>
    <col min="15106" max="15106" width="102.42578125" style="52" customWidth="1"/>
    <col min="15107" max="15107" width="4.85546875" style="52" customWidth="1"/>
    <col min="15108" max="15108" width="18.7109375" style="52" bestFit="1" customWidth="1"/>
    <col min="15109" max="15360" width="9.140625" style="52"/>
    <col min="15361" max="15361" width="9.140625" style="52" customWidth="1"/>
    <col min="15362" max="15362" width="102.42578125" style="52" customWidth="1"/>
    <col min="15363" max="15363" width="4.85546875" style="52" customWidth="1"/>
    <col min="15364" max="15364" width="18.7109375" style="52" bestFit="1" customWidth="1"/>
    <col min="15365" max="15616" width="9.140625" style="52"/>
    <col min="15617" max="15617" width="9.140625" style="52" customWidth="1"/>
    <col min="15618" max="15618" width="102.42578125" style="52" customWidth="1"/>
    <col min="15619" max="15619" width="4.85546875" style="52" customWidth="1"/>
    <col min="15620" max="15620" width="18.7109375" style="52" bestFit="1" customWidth="1"/>
    <col min="15621" max="15872" width="9.140625" style="52"/>
    <col min="15873" max="15873" width="9.140625" style="52" customWidth="1"/>
    <col min="15874" max="15874" width="102.42578125" style="52" customWidth="1"/>
    <col min="15875" max="15875" width="4.85546875" style="52" customWidth="1"/>
    <col min="15876" max="15876" width="18.7109375" style="52" bestFit="1" customWidth="1"/>
    <col min="15877" max="16128" width="9.140625" style="52"/>
    <col min="16129" max="16129" width="9.140625" style="52" customWidth="1"/>
    <col min="16130" max="16130" width="102.42578125" style="52" customWidth="1"/>
    <col min="16131" max="16131" width="4.85546875" style="52" customWidth="1"/>
    <col min="16132" max="16132" width="18.7109375" style="52" bestFit="1" customWidth="1"/>
    <col min="16133" max="16384" width="9.140625" style="52"/>
  </cols>
  <sheetData>
    <row r="3" spans="2:4" ht="23.25">
      <c r="B3" s="159" t="s">
        <v>117</v>
      </c>
      <c r="C3" s="160" t="s">
        <v>118</v>
      </c>
      <c r="D3" s="162" t="s">
        <v>116</v>
      </c>
    </row>
    <row r="4" spans="2:4" ht="23.25">
      <c r="B4" s="159"/>
      <c r="C4" s="161"/>
      <c r="D4" s="162"/>
    </row>
    <row r="5" spans="2:4" ht="23.25">
      <c r="B5" s="159"/>
      <c r="C5" s="161"/>
      <c r="D5" s="162"/>
    </row>
    <row r="6" spans="2:4" ht="30" customHeight="1">
      <c r="B6" s="58"/>
      <c r="C6" s="57"/>
      <c r="D6" s="56"/>
    </row>
    <row r="7" spans="2:4" ht="30" customHeight="1">
      <c r="B7" s="55" t="s">
        <v>115</v>
      </c>
      <c r="C7" s="59" t="s">
        <v>147</v>
      </c>
      <c r="D7" s="54" t="s">
        <v>124</v>
      </c>
    </row>
    <row r="8" spans="2:4" ht="30" customHeight="1">
      <c r="B8" s="55" t="s">
        <v>115</v>
      </c>
      <c r="C8" s="59" t="s">
        <v>119</v>
      </c>
      <c r="D8" s="54" t="s">
        <v>125</v>
      </c>
    </row>
    <row r="9" spans="2:4" ht="30" customHeight="1">
      <c r="B9" s="53" t="s">
        <v>114</v>
      </c>
      <c r="C9" s="59" t="s">
        <v>120</v>
      </c>
      <c r="D9" s="53" t="s">
        <v>126</v>
      </c>
    </row>
    <row r="10" spans="2:4" ht="30" customHeight="1">
      <c r="B10" s="53" t="s">
        <v>114</v>
      </c>
      <c r="C10" s="59" t="s">
        <v>121</v>
      </c>
      <c r="D10" s="53" t="s">
        <v>126</v>
      </c>
    </row>
    <row r="11" spans="2:4" ht="30" customHeight="1">
      <c r="B11" s="55" t="s">
        <v>113</v>
      </c>
      <c r="C11" s="59">
        <v>61</v>
      </c>
      <c r="D11" s="54" t="s">
        <v>127</v>
      </c>
    </row>
    <row r="12" spans="2:4" ht="30" customHeight="1">
      <c r="B12" s="53" t="s">
        <v>112</v>
      </c>
      <c r="C12" s="59" t="s">
        <v>122</v>
      </c>
      <c r="D12" s="53" t="s">
        <v>128</v>
      </c>
    </row>
    <row r="13" spans="2:4" ht="30" customHeight="1">
      <c r="B13" s="53" t="s">
        <v>112</v>
      </c>
      <c r="C13" s="59" t="s">
        <v>123</v>
      </c>
      <c r="D13" s="53" t="s">
        <v>128</v>
      </c>
    </row>
  </sheetData>
  <mergeCells count="3">
    <mergeCell ref="B3:B5"/>
    <mergeCell ref="C3:C5"/>
    <mergeCell ref="D3:D5"/>
  </mergeCells>
  <hyperlinks>
    <hyperlink ref="C7" location="'59a'!A1" display="59a"/>
    <hyperlink ref="C8" location="'59b'!A1" display="59b"/>
    <hyperlink ref="C9" location="'60a'!A1" display="60a"/>
    <hyperlink ref="C10" location="'60b'!A1" display="60b"/>
    <hyperlink ref="C11" location="'61'!A1" display="'61'!A1"/>
    <hyperlink ref="C12" location="'62a'!A1" display="62a"/>
    <hyperlink ref="C13" location="'62b'!A1" display="62b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59"/>
  <sheetViews>
    <sheetView rightToLeft="1" zoomScale="50" zoomScaleNormal="50" workbookViewId="0">
      <selection activeCell="P297" sqref="P297"/>
    </sheetView>
  </sheetViews>
  <sheetFormatPr defaultColWidth="9.140625" defaultRowHeight="15.75"/>
  <cols>
    <col min="1" max="1" width="10.7109375" customWidth="1"/>
    <col min="2" max="16" width="22.7109375" style="1" customWidth="1"/>
    <col min="17" max="17" width="17.85546875" bestFit="1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2:16" ht="15.75" customHeight="1">
      <c r="B2"/>
      <c r="C2"/>
      <c r="D2"/>
      <c r="I2"/>
      <c r="J2"/>
      <c r="K2"/>
      <c r="L2"/>
      <c r="M2"/>
      <c r="N2"/>
      <c r="O2"/>
      <c r="P2"/>
    </row>
    <row r="3" spans="2:16" ht="40.15" customHeight="1">
      <c r="B3" s="166" t="s">
        <v>130</v>
      </c>
      <c r="C3" s="166"/>
      <c r="D3" s="166"/>
      <c r="E3" s="168" t="s">
        <v>99</v>
      </c>
      <c r="F3" s="168"/>
      <c r="G3" s="168"/>
      <c r="H3" s="168"/>
      <c r="I3" s="168"/>
      <c r="J3" s="168"/>
      <c r="K3" s="168"/>
      <c r="L3" s="168"/>
      <c r="M3" s="168"/>
      <c r="N3" s="167" t="s">
        <v>106</v>
      </c>
      <c r="O3" s="167"/>
      <c r="P3" s="167"/>
    </row>
    <row r="4" spans="2:16" ht="40.15" customHeight="1">
      <c r="B4" s="63"/>
      <c r="C4" s="63"/>
      <c r="D4" s="63"/>
      <c r="E4" s="65"/>
      <c r="F4" s="65"/>
      <c r="G4" s="65"/>
      <c r="H4" s="65"/>
      <c r="I4" s="70" t="s">
        <v>159</v>
      </c>
      <c r="J4" s="65"/>
      <c r="K4" s="65"/>
      <c r="L4" s="65"/>
      <c r="M4" s="65"/>
      <c r="N4" s="64"/>
      <c r="O4" s="64"/>
      <c r="P4" s="64"/>
    </row>
    <row r="5" spans="2:16" ht="40.15" customHeight="1">
      <c r="B5" s="21"/>
      <c r="C5" s="169" t="s">
        <v>160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9" t="s">
        <v>97</v>
      </c>
    </row>
    <row r="6" spans="2:16" ht="10.15" customHeight="1">
      <c r="B6" s="2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49"/>
    </row>
    <row r="7" spans="2:16" ht="36" customHeight="1">
      <c r="B7" s="170"/>
      <c r="C7" s="173" t="s">
        <v>72</v>
      </c>
      <c r="D7" s="173"/>
      <c r="E7" s="173"/>
      <c r="F7" s="173"/>
      <c r="G7" s="173"/>
      <c r="H7" s="173" t="s">
        <v>80</v>
      </c>
      <c r="I7" s="173"/>
      <c r="J7" s="173"/>
      <c r="K7" s="173"/>
      <c r="L7" s="173"/>
      <c r="M7" s="173"/>
      <c r="N7" s="173"/>
      <c r="O7" s="173"/>
      <c r="P7" s="174"/>
    </row>
    <row r="8" spans="2:16" ht="36" customHeight="1">
      <c r="B8" s="171"/>
      <c r="C8" s="175" t="s">
        <v>82</v>
      </c>
      <c r="D8" s="175"/>
      <c r="E8" s="175"/>
      <c r="F8" s="175"/>
      <c r="G8" s="176"/>
      <c r="H8" s="175" t="s">
        <v>81</v>
      </c>
      <c r="I8" s="175"/>
      <c r="J8" s="175"/>
      <c r="K8" s="175"/>
      <c r="L8" s="175"/>
      <c r="M8" s="175"/>
      <c r="N8" s="175"/>
      <c r="O8" s="175"/>
      <c r="P8" s="177"/>
    </row>
    <row r="9" spans="2:16" ht="120" customHeight="1">
      <c r="B9" s="172"/>
      <c r="C9" s="27" t="s">
        <v>26</v>
      </c>
      <c r="D9" s="27" t="s">
        <v>25</v>
      </c>
      <c r="E9" s="27" t="s">
        <v>24</v>
      </c>
      <c r="F9" s="27" t="s">
        <v>23</v>
      </c>
      <c r="G9" s="92" t="s">
        <v>22</v>
      </c>
      <c r="H9" s="27" t="s">
        <v>21</v>
      </c>
      <c r="I9" s="27" t="s">
        <v>20</v>
      </c>
      <c r="J9" s="27" t="s">
        <v>19</v>
      </c>
      <c r="K9" s="27" t="s">
        <v>18</v>
      </c>
      <c r="L9" s="27" t="s">
        <v>17</v>
      </c>
      <c r="M9" s="27" t="s">
        <v>16</v>
      </c>
      <c r="N9" s="27" t="s">
        <v>15</v>
      </c>
      <c r="O9" s="27" t="s">
        <v>14</v>
      </c>
      <c r="P9" s="134" t="s">
        <v>13</v>
      </c>
    </row>
    <row r="10" spans="2:16" ht="61.5" customHeight="1">
      <c r="B10" s="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50"/>
    </row>
    <row r="11" spans="2:16" ht="120" customHeight="1">
      <c r="B11" s="33"/>
      <c r="C11" s="80" t="s">
        <v>12</v>
      </c>
      <c r="D11" s="80" t="s">
        <v>11</v>
      </c>
      <c r="E11" s="80" t="s">
        <v>10</v>
      </c>
      <c r="F11" s="80" t="s">
        <v>9</v>
      </c>
      <c r="G11" s="80" t="s">
        <v>8</v>
      </c>
      <c r="H11" s="80" t="s">
        <v>109</v>
      </c>
      <c r="I11" s="80" t="s">
        <v>6</v>
      </c>
      <c r="J11" s="80" t="s">
        <v>5</v>
      </c>
      <c r="K11" s="80" t="s">
        <v>107</v>
      </c>
      <c r="L11" s="80" t="s">
        <v>108</v>
      </c>
      <c r="M11" s="80" t="s">
        <v>3</v>
      </c>
      <c r="N11" s="80" t="s">
        <v>2</v>
      </c>
      <c r="O11" s="80" t="s">
        <v>1</v>
      </c>
      <c r="P11" s="81" t="s">
        <v>0</v>
      </c>
    </row>
    <row r="12" spans="2:16" ht="40.15" customHeight="1">
      <c r="B12" s="26" t="s">
        <v>79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2:16" ht="34.9" hidden="1" customHeight="1">
      <c r="B13" s="5">
        <v>2004</v>
      </c>
      <c r="C13" s="6">
        <v>1692995.4</v>
      </c>
      <c r="D13" s="6">
        <v>43427</v>
      </c>
      <c r="E13" s="6">
        <v>401593.9</v>
      </c>
      <c r="F13" s="6">
        <v>265748.59999999998</v>
      </c>
      <c r="G13" s="7">
        <f>SUM(C13:F13)</f>
        <v>2403764.9</v>
      </c>
      <c r="H13" s="6">
        <v>51128.9</v>
      </c>
      <c r="I13" s="6">
        <v>25460.2</v>
      </c>
      <c r="J13" s="6">
        <v>39809.9</v>
      </c>
      <c r="K13" s="6">
        <v>44837.5</v>
      </c>
      <c r="L13" s="6">
        <v>64884.4</v>
      </c>
      <c r="M13" s="6">
        <v>15144.6</v>
      </c>
      <c r="N13" s="6">
        <v>114639.9</v>
      </c>
      <c r="O13" s="6">
        <v>24039</v>
      </c>
      <c r="P13" s="7">
        <f>SUM(H13:O13)</f>
        <v>379944.4</v>
      </c>
    </row>
    <row r="14" spans="2:16" ht="34.9" hidden="1" customHeight="1">
      <c r="B14" s="9">
        <v>2005</v>
      </c>
      <c r="C14" s="10">
        <v>6043405.2000000002</v>
      </c>
      <c r="D14" s="10">
        <v>179878.39999999999</v>
      </c>
      <c r="E14" s="10">
        <v>4744952.3</v>
      </c>
      <c r="F14" s="10">
        <v>2232453</v>
      </c>
      <c r="G14" s="11">
        <f>SUM(C14:F14)</f>
        <v>13200688.9</v>
      </c>
      <c r="H14" s="10">
        <v>46046.6</v>
      </c>
      <c r="I14" s="10">
        <v>71817.7</v>
      </c>
      <c r="J14" s="10">
        <v>141850.9</v>
      </c>
      <c r="K14" s="10">
        <v>310442.09999999998</v>
      </c>
      <c r="L14" s="10">
        <v>273179.59999999998</v>
      </c>
      <c r="M14" s="10">
        <v>26351.8</v>
      </c>
      <c r="N14" s="10">
        <v>230774</v>
      </c>
      <c r="O14" s="10">
        <v>95457.9</v>
      </c>
      <c r="P14" s="11">
        <f>SUM(H14:O14)</f>
        <v>1195920.5999999999</v>
      </c>
    </row>
    <row r="15" spans="2:16" ht="34.9" hidden="1" customHeight="1">
      <c r="B15" s="5">
        <v>2006</v>
      </c>
      <c r="C15" s="6">
        <v>2869730.6</v>
      </c>
      <c r="D15" s="6">
        <v>89033</v>
      </c>
      <c r="E15" s="6">
        <v>4218140.0999999996</v>
      </c>
      <c r="F15" s="6">
        <v>4393297.9000000004</v>
      </c>
      <c r="G15" s="7">
        <f>SUM(C15:F15)</f>
        <v>11570201.6</v>
      </c>
      <c r="H15" s="6">
        <v>47103.199999999997</v>
      </c>
      <c r="I15" s="6">
        <v>78905</v>
      </c>
      <c r="J15" s="6">
        <v>229598.8</v>
      </c>
      <c r="K15" s="6">
        <v>220259.1</v>
      </c>
      <c r="L15" s="6">
        <v>67149</v>
      </c>
      <c r="M15" s="6">
        <v>21729.1</v>
      </c>
      <c r="N15" s="6">
        <v>103599.8</v>
      </c>
      <c r="O15" s="6">
        <v>173845.9</v>
      </c>
      <c r="P15" s="7">
        <f>SUM(H15:O15)</f>
        <v>942189.9</v>
      </c>
    </row>
    <row r="16" spans="2:16" ht="34.9" hidden="1" customHeight="1">
      <c r="B16" s="9">
        <v>2007</v>
      </c>
      <c r="C16" s="10">
        <v>3411816.2</v>
      </c>
      <c r="D16" s="10">
        <v>419503.6</v>
      </c>
      <c r="E16" s="10">
        <v>2143445.7000000002</v>
      </c>
      <c r="F16" s="10">
        <v>2780253</v>
      </c>
      <c r="G16" s="11">
        <f>SUM(C16:F16)</f>
        <v>8755018.5</v>
      </c>
      <c r="H16" s="10">
        <v>168843.9</v>
      </c>
      <c r="I16" s="10">
        <v>250757.9</v>
      </c>
      <c r="J16" s="10">
        <v>221445.7</v>
      </c>
      <c r="K16" s="10">
        <v>426666.8</v>
      </c>
      <c r="L16" s="10">
        <v>143057.60000000001</v>
      </c>
      <c r="M16" s="10">
        <v>43098.6</v>
      </c>
      <c r="N16" s="10">
        <v>209734.8</v>
      </c>
      <c r="O16" s="10">
        <v>218603.2</v>
      </c>
      <c r="P16" s="11">
        <f>SUM(H16:O16)</f>
        <v>1682208.5000000002</v>
      </c>
    </row>
    <row r="17" spans="2:16" ht="34.9" hidden="1" customHeight="1">
      <c r="B17" s="5">
        <v>2008</v>
      </c>
      <c r="C17" s="6">
        <v>3229673.5349999997</v>
      </c>
      <c r="D17" s="6">
        <v>502298.92200000002</v>
      </c>
      <c r="E17" s="6">
        <v>2355595.9030000004</v>
      </c>
      <c r="F17" s="6">
        <v>3551368.4040000001</v>
      </c>
      <c r="G17" s="7">
        <v>9638936.7640000004</v>
      </c>
      <c r="H17" s="6">
        <v>106342.548</v>
      </c>
      <c r="I17" s="6">
        <v>109841.84599999999</v>
      </c>
      <c r="J17" s="6">
        <v>140456.32799999998</v>
      </c>
      <c r="K17" s="6">
        <v>649268.80100000009</v>
      </c>
      <c r="L17" s="6">
        <v>541038.51500000001</v>
      </c>
      <c r="M17" s="6">
        <v>28765.892</v>
      </c>
      <c r="N17" s="6">
        <v>3359703.0490000001</v>
      </c>
      <c r="O17" s="6">
        <v>486824.94</v>
      </c>
      <c r="P17" s="7">
        <v>5422241.9190000007</v>
      </c>
    </row>
    <row r="18" spans="2:16" ht="34.9" hidden="1" customHeight="1">
      <c r="B18" s="9">
        <v>2009</v>
      </c>
      <c r="C18" s="10">
        <v>947458.7080000001</v>
      </c>
      <c r="D18" s="10">
        <v>463997.07</v>
      </c>
      <c r="E18" s="10">
        <v>1995527.9600000004</v>
      </c>
      <c r="F18" s="10">
        <v>2937728.4930000002</v>
      </c>
      <c r="G18" s="11">
        <v>6344712.2310000006</v>
      </c>
      <c r="H18" s="10">
        <v>15124.849000000002</v>
      </c>
      <c r="I18" s="10">
        <v>21889.51</v>
      </c>
      <c r="J18" s="10">
        <v>170760.18</v>
      </c>
      <c r="K18" s="10">
        <v>386276.92999999993</v>
      </c>
      <c r="L18" s="10">
        <v>70962.301999999996</v>
      </c>
      <c r="M18" s="10">
        <v>7760.5600000000013</v>
      </c>
      <c r="N18" s="10">
        <v>461790.54</v>
      </c>
      <c r="O18" s="10">
        <v>896281.02100000007</v>
      </c>
      <c r="P18" s="11">
        <v>2030845.892</v>
      </c>
    </row>
    <row r="19" spans="2:16" ht="34.9" hidden="1" customHeight="1">
      <c r="B19" s="5">
        <v>2010</v>
      </c>
      <c r="C19" s="6">
        <v>712823.21100000001</v>
      </c>
      <c r="D19" s="6">
        <v>242227.5</v>
      </c>
      <c r="E19" s="6">
        <v>1556263.4190000002</v>
      </c>
      <c r="F19" s="6">
        <v>1662798.5</v>
      </c>
      <c r="G19" s="7">
        <v>4174112.6300000004</v>
      </c>
      <c r="H19" s="6">
        <v>11556.568000000001</v>
      </c>
      <c r="I19" s="6">
        <v>8218.4830000000002</v>
      </c>
      <c r="J19" s="6">
        <v>220809.951</v>
      </c>
      <c r="K19" s="6">
        <v>338053.05</v>
      </c>
      <c r="L19" s="6">
        <v>32163.41</v>
      </c>
      <c r="M19" s="6">
        <v>9176.7240000000002</v>
      </c>
      <c r="N19" s="6">
        <v>89939.592000000004</v>
      </c>
      <c r="O19" s="6">
        <v>1034745.7390000001</v>
      </c>
      <c r="P19" s="7">
        <v>1744663.5170000002</v>
      </c>
    </row>
    <row r="20" spans="2:16" ht="34.9" hidden="1" customHeight="1">
      <c r="B20" s="9">
        <v>2011</v>
      </c>
      <c r="C20" s="10">
        <v>460084.1</v>
      </c>
      <c r="D20" s="10">
        <v>73111.100000000006</v>
      </c>
      <c r="E20" s="10">
        <v>471056.3</v>
      </c>
      <c r="F20" s="10">
        <v>753099.4</v>
      </c>
      <c r="G20" s="11">
        <v>1757350.9</v>
      </c>
      <c r="H20" s="10">
        <v>5444.5999999999995</v>
      </c>
      <c r="I20" s="10">
        <v>7758.4000000000005</v>
      </c>
      <c r="J20" s="10">
        <v>142677.9</v>
      </c>
      <c r="K20" s="10">
        <v>130639.2</v>
      </c>
      <c r="L20" s="10">
        <v>18779.2</v>
      </c>
      <c r="M20" s="10">
        <v>9842.6</v>
      </c>
      <c r="N20" s="10">
        <v>108581.6</v>
      </c>
      <c r="O20" s="10">
        <v>152278.6</v>
      </c>
      <c r="P20" s="11">
        <v>576002.1</v>
      </c>
    </row>
    <row r="21" spans="2:16" ht="34.9" hidden="1" customHeight="1">
      <c r="B21" s="5">
        <v>2012</v>
      </c>
      <c r="C21" s="6">
        <v>336108.60000000003</v>
      </c>
      <c r="D21" s="6">
        <v>24079.7</v>
      </c>
      <c r="E21" s="6">
        <v>329930.3</v>
      </c>
      <c r="F21" s="6">
        <v>499360.49999999994</v>
      </c>
      <c r="G21" s="7">
        <v>1189479.1000000001</v>
      </c>
      <c r="H21" s="6">
        <v>7237.3</v>
      </c>
      <c r="I21" s="6">
        <v>4697.2</v>
      </c>
      <c r="J21" s="6">
        <v>73081.900000000009</v>
      </c>
      <c r="K21" s="6">
        <v>166289.90000000002</v>
      </c>
      <c r="L21" s="6">
        <v>13543.6</v>
      </c>
      <c r="M21" s="6">
        <v>4878.8999999999996</v>
      </c>
      <c r="N21" s="6">
        <v>70644</v>
      </c>
      <c r="O21" s="6">
        <v>63521</v>
      </c>
      <c r="P21" s="7">
        <v>403893.80000000005</v>
      </c>
    </row>
    <row r="22" spans="2:16" ht="34.9" hidden="1" customHeight="1">
      <c r="B22" s="9">
        <v>2013</v>
      </c>
      <c r="C22" s="10">
        <v>865959.88199999987</v>
      </c>
      <c r="D22" s="10">
        <v>13705.8</v>
      </c>
      <c r="E22" s="10">
        <v>438276.39999999997</v>
      </c>
      <c r="F22" s="10">
        <v>903497.1</v>
      </c>
      <c r="G22" s="11">
        <v>2221439.1430000002</v>
      </c>
      <c r="H22" s="10">
        <v>3035.3</v>
      </c>
      <c r="I22" s="10">
        <v>14880.100000000002</v>
      </c>
      <c r="J22" s="10">
        <v>71286.900000000009</v>
      </c>
      <c r="K22" s="10">
        <v>182580.4</v>
      </c>
      <c r="L22" s="10">
        <v>17470.199999999997</v>
      </c>
      <c r="M22" s="10">
        <v>3561.2999999999997</v>
      </c>
      <c r="N22" s="10">
        <v>45905.599999999999</v>
      </c>
      <c r="O22" s="10">
        <v>69400.5</v>
      </c>
      <c r="P22" s="11">
        <v>408120.3</v>
      </c>
    </row>
    <row r="23" spans="2:16" ht="34.9" hidden="1" customHeight="1">
      <c r="B23" s="5">
        <v>2014</v>
      </c>
      <c r="C23" s="6">
        <v>504556.49900000001</v>
      </c>
      <c r="D23" s="6">
        <v>19925.757999999998</v>
      </c>
      <c r="E23" s="6">
        <v>314298.81400000001</v>
      </c>
      <c r="F23" s="6">
        <v>672065.31900000002</v>
      </c>
      <c r="G23" s="7">
        <v>1510846.3900000001</v>
      </c>
      <c r="H23" s="6">
        <v>13082.478999999999</v>
      </c>
      <c r="I23" s="6">
        <v>8849.2670000000016</v>
      </c>
      <c r="J23" s="6">
        <v>65221.222000000002</v>
      </c>
      <c r="K23" s="6">
        <v>158213.788</v>
      </c>
      <c r="L23" s="6">
        <v>16784.954999999998</v>
      </c>
      <c r="M23" s="6">
        <v>1429.1220000000001</v>
      </c>
      <c r="N23" s="6">
        <v>50727.292000000001</v>
      </c>
      <c r="O23" s="6">
        <v>59155.415999999997</v>
      </c>
      <c r="P23" s="7">
        <v>373463.54100000008</v>
      </c>
    </row>
    <row r="24" spans="2:16" ht="34.9" hidden="1" customHeight="1">
      <c r="B24" s="9">
        <v>2015</v>
      </c>
      <c r="C24" s="10">
        <v>722636.27800000005</v>
      </c>
      <c r="D24" s="10">
        <v>35617.731</v>
      </c>
      <c r="E24" s="10">
        <v>349133.47300000006</v>
      </c>
      <c r="F24" s="10">
        <v>1233555.7450000001</v>
      </c>
      <c r="G24" s="11">
        <v>2340943.227</v>
      </c>
      <c r="H24" s="10">
        <v>27539.492999999995</v>
      </c>
      <c r="I24" s="10">
        <v>13337.827999999998</v>
      </c>
      <c r="J24" s="10">
        <v>51026.56900000001</v>
      </c>
      <c r="K24" s="10">
        <v>198697.522</v>
      </c>
      <c r="L24" s="10">
        <v>15302.848</v>
      </c>
      <c r="M24" s="10">
        <v>981.35000000000014</v>
      </c>
      <c r="N24" s="10">
        <v>110382.40700000001</v>
      </c>
      <c r="O24" s="10">
        <v>312305.07</v>
      </c>
      <c r="P24" s="11">
        <v>729572.98700000008</v>
      </c>
    </row>
    <row r="25" spans="2:16" ht="34.9" hidden="1" customHeight="1">
      <c r="B25" s="5">
        <v>2016</v>
      </c>
      <c r="C25" s="6">
        <v>429811.40399999998</v>
      </c>
      <c r="D25" s="6">
        <v>7857.5700000000006</v>
      </c>
      <c r="E25" s="6">
        <v>291884.22499999998</v>
      </c>
      <c r="F25" s="6">
        <v>472554.67200000002</v>
      </c>
      <c r="G25" s="7">
        <v>1202107.871</v>
      </c>
      <c r="H25" s="6">
        <v>9115.1329999999998</v>
      </c>
      <c r="I25" s="6">
        <v>42351.57</v>
      </c>
      <c r="J25" s="6">
        <v>48963.025000000001</v>
      </c>
      <c r="K25" s="6">
        <v>163881.723</v>
      </c>
      <c r="L25" s="6">
        <v>7446.16</v>
      </c>
      <c r="M25" s="6">
        <v>1176.864</v>
      </c>
      <c r="N25" s="6">
        <v>80564.702000000005</v>
      </c>
      <c r="O25" s="6">
        <v>70140.145000000004</v>
      </c>
      <c r="P25" s="7">
        <v>423639.32200000004</v>
      </c>
    </row>
    <row r="26" spans="2:16" ht="34.9" hidden="1" customHeight="1">
      <c r="B26" s="9">
        <v>2017</v>
      </c>
      <c r="C26" s="10">
        <v>1260506.827</v>
      </c>
      <c r="D26" s="10">
        <v>21645.607999999997</v>
      </c>
      <c r="E26" s="10">
        <v>310502.78250000003</v>
      </c>
      <c r="F26" s="10">
        <v>302802.89899999998</v>
      </c>
      <c r="G26" s="11">
        <v>1895458.1165</v>
      </c>
      <c r="H26" s="10">
        <v>5330.8589999999995</v>
      </c>
      <c r="I26" s="10">
        <v>14547.413</v>
      </c>
      <c r="J26" s="10">
        <v>77915.774999999994</v>
      </c>
      <c r="K26" s="10">
        <v>124131.75700000001</v>
      </c>
      <c r="L26" s="10">
        <v>11655.051000000001</v>
      </c>
      <c r="M26" s="10">
        <v>472.95800000000003</v>
      </c>
      <c r="N26" s="10">
        <v>87205.389999999985</v>
      </c>
      <c r="O26" s="10">
        <v>53766.41599999999</v>
      </c>
      <c r="P26" s="11">
        <v>375025.61900000001</v>
      </c>
    </row>
    <row r="27" spans="2:16" s="8" customFormat="1" ht="34.9" hidden="1" customHeight="1">
      <c r="B27" s="5">
        <v>2018</v>
      </c>
      <c r="C27" s="6">
        <v>659126.41899999999</v>
      </c>
      <c r="D27" s="6">
        <v>19375.962</v>
      </c>
      <c r="E27" s="6">
        <v>139255.36499999996</v>
      </c>
      <c r="F27" s="6">
        <v>282247.81899999996</v>
      </c>
      <c r="G27" s="7">
        <v>1100005.5649999997</v>
      </c>
      <c r="H27" s="6">
        <v>6697.1179999999995</v>
      </c>
      <c r="I27" s="6">
        <v>13300.284000000001</v>
      </c>
      <c r="J27" s="6">
        <v>38309.725999999995</v>
      </c>
      <c r="K27" s="6">
        <v>49753.394999999997</v>
      </c>
      <c r="L27" s="6">
        <v>21591.65</v>
      </c>
      <c r="M27" s="6">
        <v>139.375</v>
      </c>
      <c r="N27" s="6">
        <v>61804.031999999999</v>
      </c>
      <c r="O27" s="6">
        <v>39435.706999999995</v>
      </c>
      <c r="P27" s="7">
        <v>231031.28699999998</v>
      </c>
    </row>
    <row r="28" spans="2:16" s="8" customFormat="1" ht="34.9" hidden="1" customHeight="1">
      <c r="B28" s="9">
        <v>2019</v>
      </c>
      <c r="C28" s="10">
        <v>528325.08500000008</v>
      </c>
      <c r="D28" s="10">
        <v>21978.219999999998</v>
      </c>
      <c r="E28" s="10">
        <v>154958.73800000001</v>
      </c>
      <c r="F28" s="10">
        <v>334137.897</v>
      </c>
      <c r="G28" s="11">
        <v>1039399.94</v>
      </c>
      <c r="H28" s="10">
        <v>3230.9610000000007</v>
      </c>
      <c r="I28" s="10">
        <v>5261.4319999999998</v>
      </c>
      <c r="J28" s="10">
        <v>32802.688999999998</v>
      </c>
      <c r="K28" s="10">
        <v>61202.391000000003</v>
      </c>
      <c r="L28" s="10">
        <v>14059.997999999996</v>
      </c>
      <c r="M28" s="10">
        <v>146.88000000000002</v>
      </c>
      <c r="N28" s="10">
        <v>101904.73099999999</v>
      </c>
      <c r="O28" s="10">
        <v>38063.884999999995</v>
      </c>
      <c r="P28" s="11">
        <v>256672.96699999998</v>
      </c>
    </row>
    <row r="29" spans="2:16" s="8" customFormat="1" ht="34.9" hidden="1" customHeight="1">
      <c r="B29" s="5" t="s">
        <v>141</v>
      </c>
      <c r="C29" s="6">
        <v>223741.32499999998</v>
      </c>
      <c r="D29" s="6">
        <v>29383.595999999994</v>
      </c>
      <c r="E29" s="6">
        <v>146626.08500000002</v>
      </c>
      <c r="F29" s="6">
        <v>256316.83699999994</v>
      </c>
      <c r="G29" s="7">
        <v>656067.84299999999</v>
      </c>
      <c r="H29" s="6">
        <v>1326.607</v>
      </c>
      <c r="I29" s="6">
        <v>2763.6460000000002</v>
      </c>
      <c r="J29" s="6">
        <v>10691.896000000001</v>
      </c>
      <c r="K29" s="6">
        <v>41420.933999999994</v>
      </c>
      <c r="L29" s="6">
        <v>7133.8789999999999</v>
      </c>
      <c r="M29" s="6">
        <v>45.522999999999996</v>
      </c>
      <c r="N29" s="6">
        <v>104232.32400000001</v>
      </c>
      <c r="O29" s="6">
        <v>42825.686000000002</v>
      </c>
      <c r="P29" s="7">
        <v>210440.495</v>
      </c>
    </row>
    <row r="30" spans="2:16" s="8" customFormat="1" ht="34.5" customHeight="1">
      <c r="B30" s="9">
        <v>2021</v>
      </c>
      <c r="C30" s="10">
        <v>383526.04000000004</v>
      </c>
      <c r="D30" s="10">
        <v>36482.295000000006</v>
      </c>
      <c r="E30" s="10">
        <v>118446.766</v>
      </c>
      <c r="F30" s="10">
        <v>445112.45199999999</v>
      </c>
      <c r="G30" s="11">
        <v>983567.55300000007</v>
      </c>
      <c r="H30" s="10">
        <v>774.17200000000003</v>
      </c>
      <c r="I30" s="10">
        <v>9551.6299999999992</v>
      </c>
      <c r="J30" s="10">
        <v>10335.540999999999</v>
      </c>
      <c r="K30" s="10">
        <v>59354.522999999994</v>
      </c>
      <c r="L30" s="10">
        <v>19403.201999999997</v>
      </c>
      <c r="M30" s="10">
        <v>0</v>
      </c>
      <c r="N30" s="10">
        <v>269847.06799999997</v>
      </c>
      <c r="O30" s="10">
        <v>114903.743</v>
      </c>
      <c r="P30" s="11">
        <v>484169.87899999996</v>
      </c>
    </row>
    <row r="31" spans="2:16" s="8" customFormat="1" ht="34.9" customHeight="1">
      <c r="B31" s="5">
        <v>2022</v>
      </c>
      <c r="C31" s="6">
        <v>449746.72899999999</v>
      </c>
      <c r="D31" s="6">
        <v>68412.499000000011</v>
      </c>
      <c r="E31" s="6">
        <v>89987.961999999985</v>
      </c>
      <c r="F31" s="6">
        <v>224593.29699999996</v>
      </c>
      <c r="G31" s="7">
        <v>832740.48699999996</v>
      </c>
      <c r="H31" s="6">
        <v>3589.0450000000001</v>
      </c>
      <c r="I31" s="6">
        <v>3987.9339999999997</v>
      </c>
      <c r="J31" s="6">
        <v>7249.9589999999998</v>
      </c>
      <c r="K31" s="6">
        <v>12009.199000000001</v>
      </c>
      <c r="L31" s="6">
        <v>96957.357000000004</v>
      </c>
      <c r="M31" s="6">
        <v>0</v>
      </c>
      <c r="N31" s="6">
        <v>414990.76799999998</v>
      </c>
      <c r="O31" s="6">
        <v>86167.735000000015</v>
      </c>
      <c r="P31" s="7">
        <v>624951.99699999997</v>
      </c>
    </row>
    <row r="32" spans="2:16" s="8" customFormat="1" ht="34.5" customHeight="1">
      <c r="B32" s="9">
        <v>2023</v>
      </c>
      <c r="C32" s="10">
        <v>232754.05000000005</v>
      </c>
      <c r="D32" s="10">
        <v>34578.811999999998</v>
      </c>
      <c r="E32" s="10">
        <v>115972.43600000002</v>
      </c>
      <c r="F32" s="10">
        <v>159495.35400000005</v>
      </c>
      <c r="G32" s="11">
        <v>542800.652</v>
      </c>
      <c r="H32" s="10">
        <v>616.13799999999992</v>
      </c>
      <c r="I32" s="10">
        <v>4253.8160000000007</v>
      </c>
      <c r="J32" s="10">
        <v>2867.4629999999997</v>
      </c>
      <c r="K32" s="10">
        <v>17363.263999999999</v>
      </c>
      <c r="L32" s="10">
        <v>168545.891</v>
      </c>
      <c r="M32" s="10">
        <v>0</v>
      </c>
      <c r="N32" s="10">
        <v>241737.78599999999</v>
      </c>
      <c r="O32" s="10">
        <v>11768.503000000002</v>
      </c>
      <c r="P32" s="11">
        <v>447152.86100000003</v>
      </c>
    </row>
    <row r="33" spans="2:17" s="8" customFormat="1" ht="34.9" customHeight="1">
      <c r="B33" s="5">
        <v>2024</v>
      </c>
      <c r="C33" s="6">
        <v>334082.25300000003</v>
      </c>
      <c r="D33" s="6">
        <v>6527.2380000000003</v>
      </c>
      <c r="E33" s="6">
        <v>97517.842000000004</v>
      </c>
      <c r="F33" s="6">
        <v>132419.32399999999</v>
      </c>
      <c r="G33" s="7">
        <v>570546.65700000001</v>
      </c>
      <c r="H33" s="6">
        <v>442.51900000000001</v>
      </c>
      <c r="I33" s="6">
        <v>7410.7920000000004</v>
      </c>
      <c r="J33" s="6">
        <v>4722.1710000000003</v>
      </c>
      <c r="K33" s="6">
        <v>30525.260999999999</v>
      </c>
      <c r="L33" s="6">
        <v>125272.448</v>
      </c>
      <c r="M33" s="6">
        <v>0</v>
      </c>
      <c r="N33" s="6">
        <v>222287.37100000001</v>
      </c>
      <c r="O33" s="6">
        <v>30184.177</v>
      </c>
      <c r="P33" s="7">
        <v>420844.73800000001</v>
      </c>
      <c r="Q33" s="139"/>
    </row>
    <row r="34" spans="2:17" s="8" customFormat="1" ht="34.5" customHeight="1">
      <c r="B34" s="9">
        <v>2025</v>
      </c>
      <c r="C34" s="10">
        <v>679699.54399999999</v>
      </c>
      <c r="D34" s="10">
        <v>20754.117000000002</v>
      </c>
      <c r="E34" s="10">
        <v>50536.2</v>
      </c>
      <c r="F34" s="10">
        <v>186238.01200000002</v>
      </c>
      <c r="G34" s="11">
        <v>937227.89899999998</v>
      </c>
      <c r="H34" s="10">
        <v>1817.7029999999997</v>
      </c>
      <c r="I34" s="10">
        <v>4902.1630000000005</v>
      </c>
      <c r="J34" s="10">
        <v>8929.4650000000001</v>
      </c>
      <c r="K34" s="10">
        <v>19610.715999999997</v>
      </c>
      <c r="L34" s="10">
        <v>178990.065</v>
      </c>
      <c r="M34" s="10">
        <v>0</v>
      </c>
      <c r="N34" s="10">
        <v>445559.56900000002</v>
      </c>
      <c r="O34" s="10">
        <v>9373.6039999999994</v>
      </c>
      <c r="P34" s="11">
        <v>669183.28500000003</v>
      </c>
    </row>
    <row r="35" spans="2:17" ht="34.9" hidden="1" customHeight="1">
      <c r="B35" s="3">
        <v>2006</v>
      </c>
      <c r="C35" s="12"/>
      <c r="D35" s="12"/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3"/>
    </row>
    <row r="36" spans="2:17" ht="34.9" hidden="1" customHeight="1">
      <c r="B36" s="14">
        <v>38899</v>
      </c>
      <c r="C36" s="6">
        <v>216755.3</v>
      </c>
      <c r="D36" s="6">
        <v>5024.8999999999996</v>
      </c>
      <c r="E36" s="6">
        <v>244288.8</v>
      </c>
      <c r="F36" s="6">
        <v>262714.2</v>
      </c>
      <c r="G36" s="7">
        <f t="shared" ref="G36:G41" si="0">SUM(C36:F36)</f>
        <v>728783.2</v>
      </c>
      <c r="H36" s="6">
        <v>4034.5</v>
      </c>
      <c r="I36" s="6">
        <v>6487</v>
      </c>
      <c r="J36" s="6">
        <v>42678.8</v>
      </c>
      <c r="K36" s="6">
        <v>8604.1</v>
      </c>
      <c r="L36" s="6" t="s">
        <v>92</v>
      </c>
      <c r="M36" s="6">
        <v>1098</v>
      </c>
      <c r="N36" s="6">
        <v>5087.1000000000004</v>
      </c>
      <c r="O36" s="6">
        <v>10846</v>
      </c>
      <c r="P36" s="7">
        <f t="shared" ref="P36:P41" si="1">SUM(H36:O36)</f>
        <v>78835.5</v>
      </c>
    </row>
    <row r="37" spans="2:17" ht="34.9" hidden="1" customHeight="1">
      <c r="B37" s="15">
        <v>38930</v>
      </c>
      <c r="C37" s="10">
        <v>195791.5</v>
      </c>
      <c r="D37" s="10">
        <v>6429.6</v>
      </c>
      <c r="E37" s="10">
        <v>558392.19999999995</v>
      </c>
      <c r="F37" s="10">
        <v>653860.80000000005</v>
      </c>
      <c r="G37" s="11">
        <f t="shared" si="0"/>
        <v>1414474.1</v>
      </c>
      <c r="H37" s="10">
        <v>2390.1</v>
      </c>
      <c r="I37" s="10">
        <v>8640.2999999999993</v>
      </c>
      <c r="J37" s="10">
        <v>51635.6</v>
      </c>
      <c r="K37" s="10">
        <v>23528.799999999999</v>
      </c>
      <c r="L37" s="10" t="s">
        <v>92</v>
      </c>
      <c r="M37" s="10">
        <v>865.8</v>
      </c>
      <c r="N37" s="10">
        <v>31620.799999999999</v>
      </c>
      <c r="O37" s="10">
        <v>13930.1</v>
      </c>
      <c r="P37" s="11">
        <f t="shared" si="1"/>
        <v>132611.5</v>
      </c>
    </row>
    <row r="38" spans="2:17" ht="34.9" hidden="1" customHeight="1">
      <c r="B38" s="14">
        <v>38961</v>
      </c>
      <c r="C38" s="6">
        <v>127900.8</v>
      </c>
      <c r="D38" s="6">
        <v>6931.3</v>
      </c>
      <c r="E38" s="6">
        <v>263019.59999999998</v>
      </c>
      <c r="F38" s="6">
        <v>503530.7</v>
      </c>
      <c r="G38" s="7">
        <f t="shared" si="0"/>
        <v>901382.39999999991</v>
      </c>
      <c r="H38" s="6">
        <v>3507.1</v>
      </c>
      <c r="I38" s="6">
        <v>12238.7</v>
      </c>
      <c r="J38" s="6">
        <v>19832</v>
      </c>
      <c r="K38" s="6">
        <v>38987.1</v>
      </c>
      <c r="L38" s="6" t="s">
        <v>92</v>
      </c>
      <c r="M38" s="6">
        <v>498.1</v>
      </c>
      <c r="N38" s="6">
        <v>9976.7999999999993</v>
      </c>
      <c r="O38" s="6">
        <v>25743.7</v>
      </c>
      <c r="P38" s="7">
        <f t="shared" si="1"/>
        <v>110783.5</v>
      </c>
    </row>
    <row r="39" spans="2:17" ht="34.9" hidden="1" customHeight="1">
      <c r="B39" s="15">
        <v>38991</v>
      </c>
      <c r="C39" s="10">
        <v>95484.1</v>
      </c>
      <c r="D39" s="10">
        <v>4020.1</v>
      </c>
      <c r="E39" s="10">
        <v>204511.1</v>
      </c>
      <c r="F39" s="10">
        <v>328793.7</v>
      </c>
      <c r="G39" s="11">
        <f t="shared" si="0"/>
        <v>632809</v>
      </c>
      <c r="H39" s="10">
        <v>8377.7999999999993</v>
      </c>
      <c r="I39" s="10">
        <v>10303.9</v>
      </c>
      <c r="J39" s="10">
        <v>16182.2</v>
      </c>
      <c r="K39" s="10">
        <v>39524.9</v>
      </c>
      <c r="L39" s="10">
        <v>2511.8000000000002</v>
      </c>
      <c r="M39" s="10">
        <v>255.8</v>
      </c>
      <c r="N39" s="10">
        <v>3191.3</v>
      </c>
      <c r="O39" s="10">
        <v>23726.6</v>
      </c>
      <c r="P39" s="11">
        <f t="shared" si="1"/>
        <v>104074.29999999999</v>
      </c>
    </row>
    <row r="40" spans="2:17" ht="34.9" hidden="1" customHeight="1">
      <c r="B40" s="14">
        <v>39022</v>
      </c>
      <c r="C40" s="6">
        <v>104060.8</v>
      </c>
      <c r="D40" s="6">
        <v>4615.1000000000004</v>
      </c>
      <c r="E40" s="6">
        <v>184138.2</v>
      </c>
      <c r="F40" s="6">
        <v>375792.2</v>
      </c>
      <c r="G40" s="7">
        <f t="shared" si="0"/>
        <v>668606.30000000005</v>
      </c>
      <c r="H40" s="6">
        <v>7649.5</v>
      </c>
      <c r="I40" s="6">
        <v>11738.9</v>
      </c>
      <c r="J40" s="6">
        <v>19608.8</v>
      </c>
      <c r="K40" s="6">
        <v>16343.6</v>
      </c>
      <c r="L40" s="6">
        <v>2738.3</v>
      </c>
      <c r="M40" s="6">
        <v>559.29999999999995</v>
      </c>
      <c r="N40" s="6">
        <v>4736.6000000000004</v>
      </c>
      <c r="O40" s="6">
        <v>19393.099999999999</v>
      </c>
      <c r="P40" s="7">
        <f t="shared" si="1"/>
        <v>82768.100000000006</v>
      </c>
    </row>
    <row r="41" spans="2:17" ht="34.9" hidden="1" customHeight="1">
      <c r="B41" s="15">
        <v>39052</v>
      </c>
      <c r="C41" s="10">
        <v>176522</v>
      </c>
      <c r="D41" s="10">
        <v>3321</v>
      </c>
      <c r="E41" s="10">
        <v>95853.2</v>
      </c>
      <c r="F41" s="10">
        <v>256924.4</v>
      </c>
      <c r="G41" s="11">
        <f t="shared" si="0"/>
        <v>532620.6</v>
      </c>
      <c r="H41" s="10">
        <v>2476.8000000000002</v>
      </c>
      <c r="I41" s="10">
        <v>1591.2</v>
      </c>
      <c r="J41" s="10">
        <v>21868.9</v>
      </c>
      <c r="K41" s="10">
        <v>11549.5</v>
      </c>
      <c r="L41" s="10">
        <v>1642.1</v>
      </c>
      <c r="M41" s="10">
        <v>335.3</v>
      </c>
      <c r="N41" s="10">
        <v>2945.4</v>
      </c>
      <c r="O41" s="10">
        <v>14842.6</v>
      </c>
      <c r="P41" s="11">
        <f t="shared" si="1"/>
        <v>57251.8</v>
      </c>
    </row>
    <row r="42" spans="2:17" ht="34.9" hidden="1" customHeight="1">
      <c r="B42" s="3">
        <v>2007</v>
      </c>
      <c r="C42" s="12"/>
      <c r="D42" s="12"/>
      <c r="E42" s="12"/>
      <c r="F42" s="12"/>
      <c r="G42" s="13"/>
      <c r="H42" s="12"/>
      <c r="I42" s="12"/>
      <c r="J42" s="12"/>
      <c r="K42" s="12"/>
      <c r="L42" s="12"/>
      <c r="M42" s="12"/>
      <c r="N42" s="12"/>
      <c r="O42" s="12"/>
      <c r="P42" s="13"/>
    </row>
    <row r="43" spans="2:17" ht="34.9" hidden="1" customHeight="1">
      <c r="B43" s="14">
        <v>39083</v>
      </c>
      <c r="C43" s="6">
        <v>302697.09999999998</v>
      </c>
      <c r="D43" s="6">
        <v>5904.6</v>
      </c>
      <c r="E43" s="6">
        <v>109772.5</v>
      </c>
      <c r="F43" s="6">
        <v>215550</v>
      </c>
      <c r="G43" s="7">
        <f t="shared" ref="G43:G54" si="2">SUM(C43:F43)</f>
        <v>633924.19999999995</v>
      </c>
      <c r="H43" s="6">
        <v>5589.6</v>
      </c>
      <c r="I43" s="6">
        <v>4647.8999999999996</v>
      </c>
      <c r="J43" s="6">
        <v>12270</v>
      </c>
      <c r="K43" s="6">
        <v>35112.6</v>
      </c>
      <c r="L43" s="6">
        <v>4604.1000000000004</v>
      </c>
      <c r="M43" s="6">
        <v>1638.8</v>
      </c>
      <c r="N43" s="6">
        <v>11048.1</v>
      </c>
      <c r="O43" s="6">
        <v>11522.4</v>
      </c>
      <c r="P43" s="7">
        <f t="shared" ref="P43:P54" si="3">SUM(H43:O43)</f>
        <v>86433.5</v>
      </c>
    </row>
    <row r="44" spans="2:17" ht="34.9" hidden="1" customHeight="1">
      <c r="B44" s="15">
        <v>39114</v>
      </c>
      <c r="C44" s="10">
        <v>602874.4</v>
      </c>
      <c r="D44" s="10">
        <v>5961</v>
      </c>
      <c r="E44" s="10">
        <v>214017.2</v>
      </c>
      <c r="F44" s="10">
        <v>345378.4</v>
      </c>
      <c r="G44" s="11">
        <f t="shared" si="2"/>
        <v>1168231</v>
      </c>
      <c r="H44" s="10">
        <v>43137</v>
      </c>
      <c r="I44" s="10">
        <v>7014.7</v>
      </c>
      <c r="J44" s="10">
        <v>19341.7</v>
      </c>
      <c r="K44" s="10">
        <v>60265.4</v>
      </c>
      <c r="L44" s="10">
        <v>7528.1</v>
      </c>
      <c r="M44" s="10">
        <v>1784.7</v>
      </c>
      <c r="N44" s="10">
        <v>23075.599999999999</v>
      </c>
      <c r="O44" s="10">
        <v>12591.5</v>
      </c>
      <c r="P44" s="11">
        <f t="shared" si="3"/>
        <v>174738.7</v>
      </c>
    </row>
    <row r="45" spans="2:17" ht="34.9" hidden="1" customHeight="1">
      <c r="B45" s="14">
        <v>39142</v>
      </c>
      <c r="C45" s="6">
        <v>435600.2</v>
      </c>
      <c r="D45" s="6">
        <v>14588.6</v>
      </c>
      <c r="E45" s="6">
        <v>198401.7</v>
      </c>
      <c r="F45" s="6">
        <v>202112</v>
      </c>
      <c r="G45" s="7">
        <f t="shared" si="2"/>
        <v>850702.5</v>
      </c>
      <c r="H45" s="6">
        <v>14882.1</v>
      </c>
      <c r="I45" s="6">
        <v>13800.4</v>
      </c>
      <c r="J45" s="6">
        <v>14991</v>
      </c>
      <c r="K45" s="6">
        <v>54561.7</v>
      </c>
      <c r="L45" s="6">
        <v>5675.6</v>
      </c>
      <c r="M45" s="6">
        <v>2319.4</v>
      </c>
      <c r="N45" s="6">
        <v>9093</v>
      </c>
      <c r="O45" s="6">
        <v>20798.400000000001</v>
      </c>
      <c r="P45" s="7">
        <f t="shared" si="3"/>
        <v>136121.60000000001</v>
      </c>
    </row>
    <row r="46" spans="2:17" ht="34.9" hidden="1" customHeight="1">
      <c r="B46" s="15">
        <v>39173</v>
      </c>
      <c r="C46" s="10">
        <v>201861.7</v>
      </c>
      <c r="D46" s="10">
        <v>17347.5</v>
      </c>
      <c r="E46" s="10">
        <v>89737.600000000006</v>
      </c>
      <c r="F46" s="10">
        <v>153470.70000000001</v>
      </c>
      <c r="G46" s="11">
        <f t="shared" si="2"/>
        <v>462417.50000000006</v>
      </c>
      <c r="H46" s="10">
        <v>37943.800000000003</v>
      </c>
      <c r="I46" s="10">
        <v>11574.4</v>
      </c>
      <c r="J46" s="10">
        <v>49727.9</v>
      </c>
      <c r="K46" s="10">
        <v>50280.4</v>
      </c>
      <c r="L46" s="10">
        <v>13369.8</v>
      </c>
      <c r="M46" s="10">
        <v>2442.4</v>
      </c>
      <c r="N46" s="10">
        <v>5487.8</v>
      </c>
      <c r="O46" s="10">
        <v>6826.7</v>
      </c>
      <c r="P46" s="11">
        <f t="shared" si="3"/>
        <v>177653.19999999998</v>
      </c>
    </row>
    <row r="47" spans="2:17" ht="34.9" hidden="1" customHeight="1">
      <c r="B47" s="14">
        <v>39203</v>
      </c>
      <c r="C47" s="6">
        <v>184603.2</v>
      </c>
      <c r="D47" s="6">
        <v>28670.5</v>
      </c>
      <c r="E47" s="6">
        <v>76485.5</v>
      </c>
      <c r="F47" s="6">
        <v>254757.8</v>
      </c>
      <c r="G47" s="7">
        <f t="shared" si="2"/>
        <v>544517</v>
      </c>
      <c r="H47" s="6">
        <v>15036</v>
      </c>
      <c r="I47" s="6">
        <v>29551.200000000001</v>
      </c>
      <c r="J47" s="6">
        <v>22068</v>
      </c>
      <c r="K47" s="6">
        <v>31738.799999999999</v>
      </c>
      <c r="L47" s="6">
        <v>5609.3</v>
      </c>
      <c r="M47" s="6">
        <v>4321</v>
      </c>
      <c r="N47" s="6">
        <v>3582.4</v>
      </c>
      <c r="O47" s="6">
        <v>24677.8</v>
      </c>
      <c r="P47" s="7">
        <f t="shared" si="3"/>
        <v>136584.5</v>
      </c>
    </row>
    <row r="48" spans="2:17" ht="34.9" hidden="1" customHeight="1">
      <c r="B48" s="15">
        <v>39234</v>
      </c>
      <c r="C48" s="10">
        <v>173464.1</v>
      </c>
      <c r="D48" s="10">
        <v>47289.3</v>
      </c>
      <c r="E48" s="10">
        <v>113264.7</v>
      </c>
      <c r="F48" s="10">
        <v>264397</v>
      </c>
      <c r="G48" s="11">
        <f t="shared" si="2"/>
        <v>598415.10000000009</v>
      </c>
      <c r="H48" s="10">
        <v>17352.3</v>
      </c>
      <c r="I48" s="10">
        <v>85034.1</v>
      </c>
      <c r="J48" s="10">
        <v>14154</v>
      </c>
      <c r="K48" s="10">
        <v>51560.9</v>
      </c>
      <c r="L48" s="10">
        <v>4004.1</v>
      </c>
      <c r="M48" s="10">
        <v>2038.1</v>
      </c>
      <c r="N48" s="10">
        <v>10091.700000000001</v>
      </c>
      <c r="O48" s="10">
        <v>18942</v>
      </c>
      <c r="P48" s="11">
        <f t="shared" si="3"/>
        <v>203177.20000000004</v>
      </c>
    </row>
    <row r="49" spans="2:16" ht="34.9" hidden="1" customHeight="1">
      <c r="B49" s="14">
        <v>39264</v>
      </c>
      <c r="C49" s="6">
        <v>482921.6</v>
      </c>
      <c r="D49" s="6">
        <f>66225.9+3297</f>
        <v>69522.899999999994</v>
      </c>
      <c r="E49" s="6">
        <v>153102.1</v>
      </c>
      <c r="F49" s="6">
        <v>248512.9</v>
      </c>
      <c r="G49" s="7">
        <f t="shared" si="2"/>
        <v>954059.5</v>
      </c>
      <c r="H49" s="6">
        <v>5574</v>
      </c>
      <c r="I49" s="6">
        <f>33759+202.1</f>
        <v>33961.1</v>
      </c>
      <c r="J49" s="6">
        <v>16949.400000000001</v>
      </c>
      <c r="K49" s="6">
        <v>22888.7</v>
      </c>
      <c r="L49" s="6">
        <v>3449.3</v>
      </c>
      <c r="M49" s="6">
        <v>6030.2</v>
      </c>
      <c r="N49" s="6">
        <v>4913.7</v>
      </c>
      <c r="O49" s="6">
        <v>16604.7</v>
      </c>
      <c r="P49" s="7">
        <f t="shared" si="3"/>
        <v>110371.09999999999</v>
      </c>
    </row>
    <row r="50" spans="2:16" ht="34.9" hidden="1" customHeight="1">
      <c r="B50" s="15">
        <v>39295</v>
      </c>
      <c r="C50" s="10">
        <v>91453.7</v>
      </c>
      <c r="D50" s="10">
        <f>68435.8+1484.8</f>
        <v>69920.600000000006</v>
      </c>
      <c r="E50" s="10">
        <f>155825.2+1913.9</f>
        <v>157739.1</v>
      </c>
      <c r="F50" s="10">
        <v>153879</v>
      </c>
      <c r="G50" s="11">
        <f t="shared" si="2"/>
        <v>472992.4</v>
      </c>
      <c r="H50" s="10">
        <v>11308.7</v>
      </c>
      <c r="I50" s="10">
        <v>27976.3</v>
      </c>
      <c r="J50" s="10">
        <v>8774.7000000000007</v>
      </c>
      <c r="K50" s="10">
        <f>16875.4+230</f>
        <v>17105.400000000001</v>
      </c>
      <c r="L50" s="10">
        <v>4754.1000000000004</v>
      </c>
      <c r="M50" s="10">
        <v>2461.8000000000002</v>
      </c>
      <c r="N50" s="10">
        <v>3287.2</v>
      </c>
      <c r="O50" s="10">
        <v>18990.8</v>
      </c>
      <c r="P50" s="11">
        <f t="shared" si="3"/>
        <v>94659</v>
      </c>
    </row>
    <row r="51" spans="2:16" ht="34.9" hidden="1" customHeight="1">
      <c r="B51" s="14">
        <v>39326</v>
      </c>
      <c r="C51" s="6">
        <v>208750.1</v>
      </c>
      <c r="D51" s="6">
        <v>62025.8</v>
      </c>
      <c r="E51" s="6">
        <v>199791.5</v>
      </c>
      <c r="F51" s="6">
        <v>259784.5</v>
      </c>
      <c r="G51" s="7">
        <f t="shared" si="2"/>
        <v>730351.9</v>
      </c>
      <c r="H51" s="6">
        <v>6759.4</v>
      </c>
      <c r="I51" s="6">
        <v>14841.2</v>
      </c>
      <c r="J51" s="6">
        <v>9248.9</v>
      </c>
      <c r="K51" s="6">
        <v>16568.5</v>
      </c>
      <c r="L51" s="6">
        <v>3735.8</v>
      </c>
      <c r="M51" s="6">
        <v>2367.9</v>
      </c>
      <c r="N51" s="6">
        <v>2724.7</v>
      </c>
      <c r="O51" s="6">
        <v>15444.8</v>
      </c>
      <c r="P51" s="7">
        <f t="shared" si="3"/>
        <v>71691.199999999997</v>
      </c>
    </row>
    <row r="52" spans="2:16" ht="34.9" hidden="1" customHeight="1">
      <c r="B52" s="15">
        <v>39356</v>
      </c>
      <c r="C52" s="10">
        <f>301920.5+265+5000+3825</f>
        <v>311010.5</v>
      </c>
      <c r="D52" s="10">
        <v>40956.699999999997</v>
      </c>
      <c r="E52" s="10">
        <v>334041</v>
      </c>
      <c r="F52" s="10">
        <f>306452.1+210+785.7+254+251+524+568+548.2+576+1470+1470+1450</f>
        <v>314559</v>
      </c>
      <c r="G52" s="11">
        <f t="shared" si="2"/>
        <v>1000567.2</v>
      </c>
      <c r="H52" s="10">
        <v>4393.8</v>
      </c>
      <c r="I52" s="10">
        <v>8709.2999999999993</v>
      </c>
      <c r="J52" s="10">
        <v>17966.5</v>
      </c>
      <c r="K52" s="10">
        <v>18072.3</v>
      </c>
      <c r="L52" s="10">
        <f>9626.3+208.3</f>
        <v>9834.5999999999985</v>
      </c>
      <c r="M52" s="10">
        <v>6978</v>
      </c>
      <c r="N52" s="10">
        <v>12535.9</v>
      </c>
      <c r="O52" s="10">
        <f>21172+1161.1</f>
        <v>22333.1</v>
      </c>
      <c r="P52" s="11">
        <f t="shared" si="3"/>
        <v>100823.5</v>
      </c>
    </row>
    <row r="53" spans="2:16" ht="34.9" hidden="1" customHeight="1">
      <c r="B53" s="14">
        <v>39387</v>
      </c>
      <c r="C53" s="6">
        <v>228651.3</v>
      </c>
      <c r="D53" s="6">
        <v>35875.199999999997</v>
      </c>
      <c r="E53" s="6">
        <v>341441.3</v>
      </c>
      <c r="F53" s="6">
        <v>225372.2</v>
      </c>
      <c r="G53" s="7">
        <f t="shared" si="2"/>
        <v>831340</v>
      </c>
      <c r="H53" s="6">
        <v>3304.5</v>
      </c>
      <c r="I53" s="6">
        <v>10535.9</v>
      </c>
      <c r="J53" s="6">
        <v>15412.6</v>
      </c>
      <c r="K53" s="6">
        <v>28488.1</v>
      </c>
      <c r="L53" s="6">
        <v>25087.9</v>
      </c>
      <c r="M53" s="6">
        <v>3762.2</v>
      </c>
      <c r="N53" s="6">
        <v>11322</v>
      </c>
      <c r="O53" s="6">
        <f>34555.8+969.9</f>
        <v>35525.700000000004</v>
      </c>
      <c r="P53" s="7">
        <f t="shared" si="3"/>
        <v>133438.9</v>
      </c>
    </row>
    <row r="54" spans="2:16" ht="34.9" hidden="1" customHeight="1">
      <c r="B54" s="15">
        <v>39417</v>
      </c>
      <c r="C54" s="10">
        <v>187928.2</v>
      </c>
      <c r="D54" s="10">
        <v>21441.1</v>
      </c>
      <c r="E54" s="10">
        <v>157013.1</v>
      </c>
      <c r="F54" s="10">
        <v>140934.9</v>
      </c>
      <c r="G54" s="11">
        <f t="shared" si="2"/>
        <v>507317.30000000005</v>
      </c>
      <c r="H54" s="10">
        <v>3562.6</v>
      </c>
      <c r="I54" s="10">
        <v>3111.5</v>
      </c>
      <c r="J54" s="10">
        <v>20540.900000000001</v>
      </c>
      <c r="K54" s="10">
        <v>40023.9</v>
      </c>
      <c r="L54" s="10">
        <v>55404.9</v>
      </c>
      <c r="M54" s="10">
        <v>6954.2</v>
      </c>
      <c r="N54" s="10">
        <v>112572.7</v>
      </c>
      <c r="O54" s="10">
        <v>14528.5</v>
      </c>
      <c r="P54" s="11">
        <f t="shared" si="3"/>
        <v>256699.19999999998</v>
      </c>
    </row>
    <row r="55" spans="2:16" ht="34.9" hidden="1" customHeight="1">
      <c r="B55" s="3">
        <v>2008</v>
      </c>
      <c r="C55" s="12"/>
      <c r="D55" s="12"/>
      <c r="E55" s="12"/>
      <c r="F55" s="12"/>
      <c r="G55" s="13"/>
      <c r="H55" s="12"/>
      <c r="I55" s="12"/>
      <c r="J55" s="12"/>
      <c r="K55" s="12"/>
      <c r="L55" s="12"/>
      <c r="M55" s="12"/>
      <c r="N55" s="12"/>
      <c r="O55" s="12"/>
      <c r="P55" s="13"/>
    </row>
    <row r="56" spans="2:16" ht="34.9" hidden="1" customHeight="1">
      <c r="B56" s="14">
        <v>39448</v>
      </c>
      <c r="C56" s="6">
        <f>317342.6+618.4+3240+606+17.1</f>
        <v>321824.09999999998</v>
      </c>
      <c r="D56" s="6">
        <v>23532.3</v>
      </c>
      <c r="E56" s="6">
        <f>190532.6+584+4350+594+936+1960+6075+2025+220.9+768.7+1890+2160+1290.6+0.9</f>
        <v>213387.7</v>
      </c>
      <c r="F56" s="6">
        <f>177899.9+423.3+348.6+1155+577.5+364.5+250+2856+208.8+232+249.8+249.8+234+236+236+650.7</f>
        <v>186171.89999999997</v>
      </c>
      <c r="G56" s="7">
        <f t="shared" ref="G56:G67" si="4">SUM(C56:F56)</f>
        <v>744916</v>
      </c>
      <c r="H56" s="6">
        <v>9030</v>
      </c>
      <c r="I56" s="6">
        <v>18943.900000000001</v>
      </c>
      <c r="J56" s="6">
        <f>8654.8+207.2+207.2+201.6+480</f>
        <v>9750.8000000000011</v>
      </c>
      <c r="K56" s="6">
        <v>24388.400000000001</v>
      </c>
      <c r="L56" s="6">
        <f>96347.3+5250</f>
        <v>101597.3</v>
      </c>
      <c r="M56" s="6">
        <v>11666.1</v>
      </c>
      <c r="N56" s="6">
        <f>251291.9+1997.5</f>
        <v>253289.4</v>
      </c>
      <c r="O56" s="6">
        <f>19765.4+250+500+250+250+250</f>
        <v>21265.4</v>
      </c>
      <c r="P56" s="7">
        <f t="shared" ref="P56:P67" si="5">SUM(H56:O56)</f>
        <v>449931.30000000005</v>
      </c>
    </row>
    <row r="57" spans="2:16" ht="34.9" hidden="1" customHeight="1">
      <c r="B57" s="15">
        <v>39479</v>
      </c>
      <c r="C57" s="10">
        <v>137272.70000000001</v>
      </c>
      <c r="D57" s="10">
        <v>27493.5</v>
      </c>
      <c r="E57" s="10">
        <v>153937</v>
      </c>
      <c r="F57" s="10">
        <v>264711.59999999998</v>
      </c>
      <c r="G57" s="11">
        <f t="shared" si="4"/>
        <v>583414.80000000005</v>
      </c>
      <c r="H57" s="10">
        <v>13532.4</v>
      </c>
      <c r="I57" s="10">
        <v>44330.7</v>
      </c>
      <c r="J57" s="10">
        <v>15963.2</v>
      </c>
      <c r="K57" s="10">
        <v>16053.3</v>
      </c>
      <c r="L57" s="10">
        <v>42865.7</v>
      </c>
      <c r="M57" s="10">
        <v>2094.9</v>
      </c>
      <c r="N57" s="10">
        <v>238887.9</v>
      </c>
      <c r="O57" s="10">
        <v>16905.3</v>
      </c>
      <c r="P57" s="11">
        <f t="shared" si="5"/>
        <v>390633.39999999997</v>
      </c>
    </row>
    <row r="58" spans="2:16" ht="34.9" hidden="1" customHeight="1">
      <c r="B58" s="14">
        <v>39508</v>
      </c>
      <c r="C58" s="6">
        <f>193391.9+4680+2400+227.5+1085.7+1245.3</f>
        <v>203030.39999999999</v>
      </c>
      <c r="D58" s="6">
        <v>20410</v>
      </c>
      <c r="E58" s="6">
        <v>199502.7</v>
      </c>
      <c r="F58" s="6">
        <v>324756.90000000002</v>
      </c>
      <c r="G58" s="7">
        <f t="shared" si="4"/>
        <v>747700</v>
      </c>
      <c r="H58" s="6">
        <v>15492.9</v>
      </c>
      <c r="I58" s="6">
        <f>11126.1+675.5+579</f>
        <v>12380.6</v>
      </c>
      <c r="J58" s="6">
        <v>13836.3</v>
      </c>
      <c r="K58" s="6">
        <v>167602.6</v>
      </c>
      <c r="L58" s="6">
        <f>80905.2+1890</f>
        <v>82795.199999999997</v>
      </c>
      <c r="M58" s="6">
        <v>1873.6</v>
      </c>
      <c r="N58" s="6">
        <f>482534.9+303.2</f>
        <v>482838.10000000003</v>
      </c>
      <c r="O58" s="6">
        <v>15471.7</v>
      </c>
      <c r="P58" s="7">
        <f t="shared" si="5"/>
        <v>792291</v>
      </c>
    </row>
    <row r="59" spans="2:16" ht="34.9" hidden="1" customHeight="1">
      <c r="B59" s="15">
        <v>39539</v>
      </c>
      <c r="C59" s="10">
        <v>138718.9</v>
      </c>
      <c r="D59" s="10">
        <v>32804</v>
      </c>
      <c r="E59" s="10">
        <v>194820.8</v>
      </c>
      <c r="F59" s="10">
        <v>389928.6</v>
      </c>
      <c r="G59" s="11">
        <f t="shared" si="4"/>
        <v>756272.29999999993</v>
      </c>
      <c r="H59" s="10">
        <v>13283.7</v>
      </c>
      <c r="I59" s="10">
        <v>2705</v>
      </c>
      <c r="J59" s="10">
        <v>7122.8</v>
      </c>
      <c r="K59" s="10">
        <f>144029.5+676.2</f>
        <v>144705.70000000001</v>
      </c>
      <c r="L59" s="10">
        <f>54917.7+455</f>
        <v>55372.7</v>
      </c>
      <c r="M59" s="10">
        <v>986</v>
      </c>
      <c r="N59" s="10">
        <f>553315.8+630+315</f>
        <v>554260.80000000005</v>
      </c>
      <c r="O59" s="10">
        <f>26881.3+707.4</f>
        <v>27588.7</v>
      </c>
      <c r="P59" s="11">
        <f t="shared" si="5"/>
        <v>806025.4</v>
      </c>
    </row>
    <row r="60" spans="2:16" ht="34.9" hidden="1" customHeight="1">
      <c r="B60" s="14">
        <v>39569</v>
      </c>
      <c r="C60" s="6">
        <f>185362.127+3040+334.562</f>
        <v>188736.68900000001</v>
      </c>
      <c r="D60" s="6">
        <v>60023.4</v>
      </c>
      <c r="E60" s="6">
        <f>220419.506+2562.3+959.4+236+531.3+508.2+582.5+745.6+371.49+353.5+387.75+787.25+354</f>
        <v>228798.79599999997</v>
      </c>
      <c r="F60" s="6">
        <f>374193.718+2995.5+3200+817.5+1144.5+1379+1379+989+4935+679.528+3037.5+1350+1350+424.6+200.2+320+300+700+200.4+276.75+545</f>
        <v>400417.196</v>
      </c>
      <c r="G60" s="7">
        <f t="shared" si="4"/>
        <v>877976.08100000001</v>
      </c>
      <c r="H60" s="6">
        <f>15570.695+207.5</f>
        <v>15778.195</v>
      </c>
      <c r="I60" s="6">
        <v>2760.4940000000001</v>
      </c>
      <c r="J60" s="6">
        <f>7159.048+202.5</f>
        <v>7361.5479999999998</v>
      </c>
      <c r="K60" s="6">
        <v>43225.273000000001</v>
      </c>
      <c r="L60" s="6">
        <f>107135.282+492.5+674.5</f>
        <v>108302.28200000001</v>
      </c>
      <c r="M60" s="6">
        <v>1221.7090000000001</v>
      </c>
      <c r="N60" s="6">
        <f>471663.904+1054.5+355</f>
        <v>473073.40399999998</v>
      </c>
      <c r="O60" s="6">
        <f>42397.705+291+208.6</f>
        <v>42897.305</v>
      </c>
      <c r="P60" s="7">
        <f t="shared" si="5"/>
        <v>694620.21000000008</v>
      </c>
    </row>
    <row r="61" spans="2:16" ht="34.9" hidden="1" customHeight="1">
      <c r="B61" s="15">
        <v>39600</v>
      </c>
      <c r="C61" s="10">
        <v>495140.4</v>
      </c>
      <c r="D61" s="10">
        <v>84571.7</v>
      </c>
      <c r="E61" s="10">
        <v>467800.6</v>
      </c>
      <c r="F61" s="10">
        <v>631369.6</v>
      </c>
      <c r="G61" s="11">
        <f t="shared" si="4"/>
        <v>1678882.2999999998</v>
      </c>
      <c r="H61" s="10">
        <v>14076.8</v>
      </c>
      <c r="I61" s="10">
        <v>8016.3</v>
      </c>
      <c r="J61" s="10">
        <v>23095.1</v>
      </c>
      <c r="K61" s="10">
        <v>115845</v>
      </c>
      <c r="L61" s="10">
        <v>76121.3</v>
      </c>
      <c r="M61" s="10">
        <v>3098.8</v>
      </c>
      <c r="N61" s="10">
        <v>599262</v>
      </c>
      <c r="O61" s="10">
        <v>105589</v>
      </c>
      <c r="P61" s="11">
        <f t="shared" si="5"/>
        <v>945104.3</v>
      </c>
    </row>
    <row r="62" spans="2:16" ht="34.9" hidden="1" customHeight="1">
      <c r="B62" s="14">
        <v>39630</v>
      </c>
      <c r="C62" s="6">
        <v>719746.2</v>
      </c>
      <c r="D62" s="6">
        <v>73096.5</v>
      </c>
      <c r="E62" s="6">
        <v>274568.40000000002</v>
      </c>
      <c r="F62" s="6">
        <v>343832.3</v>
      </c>
      <c r="G62" s="7">
        <f t="shared" si="4"/>
        <v>1411243.4000000001</v>
      </c>
      <c r="H62" s="6">
        <v>13171.8</v>
      </c>
      <c r="I62" s="6">
        <v>6639.5</v>
      </c>
      <c r="J62" s="6">
        <v>20998.3</v>
      </c>
      <c r="K62" s="6">
        <v>38766.800000000003</v>
      </c>
      <c r="L62" s="6">
        <v>23470.400000000001</v>
      </c>
      <c r="M62" s="6">
        <v>2822.3</v>
      </c>
      <c r="N62" s="6">
        <v>379803.3</v>
      </c>
      <c r="O62" s="6">
        <v>85436.2</v>
      </c>
      <c r="P62" s="7">
        <f t="shared" si="5"/>
        <v>571108.6</v>
      </c>
    </row>
    <row r="63" spans="2:16" ht="34.9" hidden="1" customHeight="1">
      <c r="B63" s="15">
        <v>39661</v>
      </c>
      <c r="C63" s="10">
        <f>212935.963+1111.95+16500</f>
        <v>230547.913</v>
      </c>
      <c r="D63" s="10">
        <f>67427.047</f>
        <v>67427.047000000006</v>
      </c>
      <c r="E63" s="10">
        <f>216253.21+505.25+940+1237.5+615</f>
        <v>219550.96</v>
      </c>
      <c r="F63" s="10">
        <f>302562.347+501.2+1120+560+1100.35+1120+500.52+832+975+716.1+651.95+501+1225.2+624+1008+1100+545.4</f>
        <v>315643.06700000004</v>
      </c>
      <c r="G63" s="11">
        <f t="shared" si="4"/>
        <v>833168.98700000008</v>
      </c>
      <c r="H63" s="10">
        <v>4616.982</v>
      </c>
      <c r="I63" s="10">
        <v>2632.6439999999998</v>
      </c>
      <c r="J63" s="10">
        <v>17216.677</v>
      </c>
      <c r="K63" s="10">
        <f>35067.702+1028.139+1757.493+1131.858+2272.675</f>
        <v>41257.867000000006</v>
      </c>
      <c r="L63" s="10">
        <v>11641.592000000001</v>
      </c>
      <c r="M63" s="10">
        <v>949.79700000000003</v>
      </c>
      <c r="N63" s="10">
        <v>118823.761</v>
      </c>
      <c r="O63" s="10">
        <f>30609.023+16831.816+12563.235+14352.03+14352.03+2711.252</f>
        <v>91419.385999999999</v>
      </c>
      <c r="P63" s="11">
        <f t="shared" si="5"/>
        <v>288558.70600000001</v>
      </c>
    </row>
    <row r="64" spans="2:16" ht="34.9" hidden="1" customHeight="1">
      <c r="B64" s="14">
        <v>39692</v>
      </c>
      <c r="C64" s="6">
        <f>163877.728+687.498+2386.8+510</f>
        <v>167462.02599999998</v>
      </c>
      <c r="D64" s="6">
        <f>39699.3+547.5+0.2</f>
        <v>40247</v>
      </c>
      <c r="E64" s="6">
        <f>133860.3+1346.85+600+955.5+1690+1548+6550+1140</f>
        <v>147690.65</v>
      </c>
      <c r="F64" s="6">
        <f>211743.224+1413.75+765.6+666+528+972</f>
        <v>216088.57399999999</v>
      </c>
      <c r="G64" s="7">
        <f t="shared" si="4"/>
        <v>571488.25</v>
      </c>
      <c r="H64" s="6">
        <v>3348.5320000000002</v>
      </c>
      <c r="I64" s="6">
        <v>1818.078</v>
      </c>
      <c r="J64" s="6">
        <v>11746.620999999999</v>
      </c>
      <c r="K64" s="6">
        <v>18543.933000000001</v>
      </c>
      <c r="L64" s="6">
        <v>11606.669</v>
      </c>
      <c r="M64" s="6">
        <v>754.77499999999998</v>
      </c>
      <c r="N64" s="6">
        <f>96376.281+548.444+700+519.761</f>
        <v>98144.486000000004</v>
      </c>
      <c r="O64" s="6">
        <v>17706.626</v>
      </c>
      <c r="P64" s="7">
        <f t="shared" si="5"/>
        <v>163669.72</v>
      </c>
    </row>
    <row r="65" spans="2:16" ht="34.9" hidden="1" customHeight="1">
      <c r="B65" s="15">
        <v>39722</v>
      </c>
      <c r="C65" s="10">
        <f>219898.597+54450+4160</f>
        <v>278508.59700000001</v>
      </c>
      <c r="D65" s="10">
        <v>17498.557000000001</v>
      </c>
      <c r="E65" s="10">
        <f>96101.67+1147.404</f>
        <v>97249.073999999993</v>
      </c>
      <c r="F65" s="10">
        <f>146836.483+709.958</f>
        <v>147546.44100000002</v>
      </c>
      <c r="G65" s="11">
        <f t="shared" si="4"/>
        <v>540802.66899999999</v>
      </c>
      <c r="H65" s="10">
        <v>1419.248</v>
      </c>
      <c r="I65" s="10">
        <v>3951.223</v>
      </c>
      <c r="J65" s="10">
        <v>3186.6860000000001</v>
      </c>
      <c r="K65" s="10">
        <f>17161.093+544.5+575.773</f>
        <v>18281.366000000002</v>
      </c>
      <c r="L65" s="10">
        <v>11180.821</v>
      </c>
      <c r="M65" s="10">
        <v>1370.2639999999999</v>
      </c>
      <c r="N65" s="10">
        <f>45856.541+522+535.468+652.5</f>
        <v>47566.508999999998</v>
      </c>
      <c r="O65" s="10">
        <f>14976.731+780+5.492</f>
        <v>15762.223</v>
      </c>
      <c r="P65" s="11">
        <f t="shared" si="5"/>
        <v>102718.34</v>
      </c>
    </row>
    <row r="66" spans="2:16" ht="34.9" hidden="1" customHeight="1">
      <c r="B66" s="14">
        <v>39753</v>
      </c>
      <c r="C66" s="6">
        <f>136571.194+942.511+4208+877.676+2583.158+742.5+3243.877+1309.8+49874.928+17030.066</f>
        <v>217383.70999999996</v>
      </c>
      <c r="D66" s="6">
        <f>43516.978+632.14</f>
        <v>44149.118000000002</v>
      </c>
      <c r="E66" s="6">
        <f>99280.663+553.86+800</f>
        <v>100634.523</v>
      </c>
      <c r="F66" s="6">
        <f>221303.846+1497+983.03+1222.55+815+509</f>
        <v>226330.42599999998</v>
      </c>
      <c r="G66" s="7">
        <f t="shared" si="4"/>
        <v>588497.777</v>
      </c>
      <c r="H66" s="6">
        <v>946.49099999999999</v>
      </c>
      <c r="I66" s="6">
        <v>3880.4070000000002</v>
      </c>
      <c r="J66" s="6">
        <v>3786.6959999999999</v>
      </c>
      <c r="K66" s="6">
        <v>11833.361999999999</v>
      </c>
      <c r="L66" s="6">
        <v>11473.050999999999</v>
      </c>
      <c r="M66" s="6">
        <v>985.24699999999996</v>
      </c>
      <c r="N66" s="6">
        <v>57544.889000000003</v>
      </c>
      <c r="O66" s="6">
        <v>27241.8</v>
      </c>
      <c r="P66" s="7">
        <f t="shared" si="5"/>
        <v>117691.94300000001</v>
      </c>
    </row>
    <row r="67" spans="2:16" ht="34.9" hidden="1" customHeight="1">
      <c r="B67" s="15">
        <v>39783</v>
      </c>
      <c r="C67" s="10">
        <v>131301.9</v>
      </c>
      <c r="D67" s="10">
        <v>11045.8</v>
      </c>
      <c r="E67" s="10">
        <v>57654.7</v>
      </c>
      <c r="F67" s="10">
        <v>104571.8</v>
      </c>
      <c r="G67" s="11">
        <f t="shared" si="4"/>
        <v>304574.19999999995</v>
      </c>
      <c r="H67" s="10">
        <v>1645.5</v>
      </c>
      <c r="I67" s="10">
        <v>1783</v>
      </c>
      <c r="J67" s="10">
        <v>6391.6</v>
      </c>
      <c r="K67" s="10">
        <f>8201.2+564</f>
        <v>8765.2000000000007</v>
      </c>
      <c r="L67" s="10">
        <v>4611.5</v>
      </c>
      <c r="M67" s="10">
        <v>942.4</v>
      </c>
      <c r="N67" s="10">
        <v>56208.5</v>
      </c>
      <c r="O67" s="10">
        <f>18876.2+665.1</f>
        <v>19541.3</v>
      </c>
      <c r="P67" s="11">
        <f t="shared" si="5"/>
        <v>99889.000000000015</v>
      </c>
    </row>
    <row r="68" spans="2:16" ht="34.9" hidden="1" customHeight="1">
      <c r="B68" s="3">
        <v>2009</v>
      </c>
      <c r="C68" s="12"/>
      <c r="D68" s="12"/>
      <c r="E68" s="12"/>
      <c r="F68" s="12"/>
      <c r="G68" s="13"/>
      <c r="H68" s="12"/>
      <c r="I68" s="12"/>
      <c r="J68" s="12"/>
      <c r="K68" s="12"/>
      <c r="L68" s="12"/>
      <c r="M68" s="12"/>
      <c r="N68" s="12"/>
      <c r="O68" s="12"/>
      <c r="P68" s="13"/>
    </row>
    <row r="69" spans="2:16" ht="34.9" hidden="1" customHeight="1">
      <c r="B69" s="14">
        <v>39814</v>
      </c>
      <c r="C69" s="6">
        <f>80747.1+675+1325.1</f>
        <v>82747.200000000012</v>
      </c>
      <c r="D69" s="6">
        <v>42098.8</v>
      </c>
      <c r="E69" s="6">
        <v>62561.599999999999</v>
      </c>
      <c r="F69" s="6">
        <f>219331.1+880+1428</f>
        <v>221639.1</v>
      </c>
      <c r="G69" s="7">
        <f t="shared" ref="G69:G80" si="6">SUM(C69:F69)</f>
        <v>409046.7</v>
      </c>
      <c r="H69" s="6">
        <v>670.7</v>
      </c>
      <c r="I69" s="6">
        <v>677.3</v>
      </c>
      <c r="J69" s="6">
        <f>3870.5+3089.2+3110.5</f>
        <v>10070.200000000001</v>
      </c>
      <c r="K69" s="6">
        <f>16916.1+806</f>
        <v>17722.099999999999</v>
      </c>
      <c r="L69" s="6">
        <f>4661.6+945.3</f>
        <v>5606.9000000000005</v>
      </c>
      <c r="M69" s="6">
        <v>497.3</v>
      </c>
      <c r="N69" s="6">
        <v>28080</v>
      </c>
      <c r="O69" s="6">
        <f>30469.8+888</f>
        <v>31357.8</v>
      </c>
      <c r="P69" s="7">
        <f t="shared" ref="P69:P80" si="7">SUM(H69:O69)</f>
        <v>94682.3</v>
      </c>
    </row>
    <row r="70" spans="2:16" ht="34.9" hidden="1" customHeight="1">
      <c r="B70" s="15">
        <v>39845</v>
      </c>
      <c r="C70" s="10">
        <v>140878.9</v>
      </c>
      <c r="D70" s="10">
        <f>1285.7+77467.8</f>
        <v>78753.5</v>
      </c>
      <c r="E70" s="10">
        <f>1313.3+7140+4972.5+1899.8+7240.74+969+650.3+1326+828.7+2945.3+2945.3+2205.8+4620+754.6+2945.3+739.3+939.4+2570.3+3232.7+2772+1339.8+1339.8+893.2+998.9+986.8+831+783.1+770+669.2+648.3+500.5+529.6+127193.6</f>
        <v>190494.14</v>
      </c>
      <c r="F70" s="10">
        <f>572+657.7+600.5+1188+365644.95</f>
        <v>368663.15</v>
      </c>
      <c r="G70" s="11">
        <f t="shared" si="6"/>
        <v>778789.69000000006</v>
      </c>
      <c r="H70" s="10">
        <v>1435.45</v>
      </c>
      <c r="I70" s="10">
        <f>2101.77+525+525+2131.02</f>
        <v>5282.79</v>
      </c>
      <c r="J70" s="10">
        <v>10664.25</v>
      </c>
      <c r="K70" s="10">
        <v>19081.82</v>
      </c>
      <c r="L70" s="10">
        <v>8296.1</v>
      </c>
      <c r="M70" s="10">
        <v>922.6</v>
      </c>
      <c r="N70" s="10">
        <v>17744.060000000001</v>
      </c>
      <c r="O70" s="10">
        <v>37699.75</v>
      </c>
      <c r="P70" s="11">
        <f t="shared" si="7"/>
        <v>101126.81999999999</v>
      </c>
    </row>
    <row r="71" spans="2:16" ht="34.9" hidden="1" customHeight="1">
      <c r="B71" s="14">
        <v>39873</v>
      </c>
      <c r="C71" s="6">
        <v>56011.29</v>
      </c>
      <c r="D71" s="6">
        <f>98055.47+3880</f>
        <v>101935.47</v>
      </c>
      <c r="E71" s="6">
        <f>179442.86+501.76</f>
        <v>179944.62</v>
      </c>
      <c r="F71" s="6">
        <f>503+504582.15</f>
        <v>505085.15</v>
      </c>
      <c r="G71" s="7">
        <f t="shared" si="6"/>
        <v>842976.53</v>
      </c>
      <c r="H71" s="6">
        <v>2192.0100000000002</v>
      </c>
      <c r="I71" s="6">
        <v>4540.32</v>
      </c>
      <c r="J71" s="6">
        <v>23158.47</v>
      </c>
      <c r="K71" s="6">
        <f>16086.19+500.85</f>
        <v>16587.04</v>
      </c>
      <c r="L71" s="6">
        <v>7158.22</v>
      </c>
      <c r="M71" s="6">
        <v>256.95999999999998</v>
      </c>
      <c r="N71" s="6">
        <v>56735.88</v>
      </c>
      <c r="O71" s="6">
        <v>94172.75</v>
      </c>
      <c r="P71" s="7">
        <f t="shared" si="7"/>
        <v>204801.65</v>
      </c>
    </row>
    <row r="72" spans="2:16" ht="34.9" hidden="1" customHeight="1">
      <c r="B72" s="15">
        <v>39904</v>
      </c>
      <c r="C72" s="10">
        <f>57371.7+19500+1006.4+2475</f>
        <v>80353.099999999991</v>
      </c>
      <c r="D72" s="10">
        <f>35757.7+1403</f>
        <v>37160.699999999997</v>
      </c>
      <c r="E72" s="10">
        <f>334561.9+815+518+603+733.5+550</f>
        <v>337781.4</v>
      </c>
      <c r="F72" s="10">
        <f>346905.6+1204+864+1296.1+990+602</f>
        <v>351861.69999999995</v>
      </c>
      <c r="G72" s="11">
        <f t="shared" si="6"/>
        <v>807156.89999999991</v>
      </c>
      <c r="H72" s="10">
        <v>582.1</v>
      </c>
      <c r="I72" s="10">
        <v>2365.9</v>
      </c>
      <c r="J72" s="10">
        <f>26428.8+560+545</f>
        <v>27533.8</v>
      </c>
      <c r="K72" s="10">
        <f>32404.3+503.2</f>
        <v>32907.5</v>
      </c>
      <c r="L72" s="10">
        <f>14678.2+2028.51</f>
        <v>16706.71</v>
      </c>
      <c r="M72" s="10">
        <v>525.79999999999995</v>
      </c>
      <c r="N72" s="10">
        <f>79274.7+14956.8</f>
        <v>94231.5</v>
      </c>
      <c r="O72" s="10">
        <v>75850.399999999994</v>
      </c>
      <c r="P72" s="11">
        <f t="shared" si="7"/>
        <v>250703.71</v>
      </c>
    </row>
    <row r="73" spans="2:16" ht="34.9" hidden="1" customHeight="1">
      <c r="B73" s="14">
        <v>39934</v>
      </c>
      <c r="C73" s="6">
        <f>82165.6+595+2100+1006.4+3187.1</f>
        <v>89054.1</v>
      </c>
      <c r="D73" s="6">
        <v>80259.100000000006</v>
      </c>
      <c r="E73" s="6">
        <f>315360.7+512</f>
        <v>315872.7</v>
      </c>
      <c r="F73" s="6">
        <f>2727+600+554+2727+1054.4+313746.1</f>
        <v>321408.5</v>
      </c>
      <c r="G73" s="7">
        <f t="shared" si="6"/>
        <v>806594.4</v>
      </c>
      <c r="H73" s="6">
        <v>326.8</v>
      </c>
      <c r="I73" s="6">
        <v>369.6</v>
      </c>
      <c r="J73" s="6">
        <v>10863.5</v>
      </c>
      <c r="K73" s="6">
        <f>26713.7+1618.5+1618.5+1618.5+1618.5+1618.5</f>
        <v>34806.199999999997</v>
      </c>
      <c r="L73" s="6">
        <v>4777.1000000000004</v>
      </c>
      <c r="M73" s="6">
        <v>704.2</v>
      </c>
      <c r="N73" s="6">
        <v>63646</v>
      </c>
      <c r="O73" s="6">
        <v>60965.7</v>
      </c>
      <c r="P73" s="7">
        <f t="shared" si="7"/>
        <v>176459.09999999998</v>
      </c>
    </row>
    <row r="74" spans="2:16" ht="34.9" hidden="1" customHeight="1">
      <c r="B74" s="15">
        <v>39965</v>
      </c>
      <c r="C74" s="10">
        <f>102726.9</f>
        <v>102726.9</v>
      </c>
      <c r="D74" s="10">
        <f>48379.6+974.3</f>
        <v>49353.9</v>
      </c>
      <c r="E74" s="10">
        <f>183038.3+504+582+635</f>
        <v>184759.3</v>
      </c>
      <c r="F74" s="10">
        <f>228707.4+1080+1006+555+555+508.8</f>
        <v>232412.19999999998</v>
      </c>
      <c r="G74" s="11">
        <f t="shared" si="6"/>
        <v>569252.29999999993</v>
      </c>
      <c r="H74" s="10">
        <v>570.4</v>
      </c>
      <c r="I74" s="10">
        <f>320</f>
        <v>320</v>
      </c>
      <c r="J74" s="10">
        <f>8907</f>
        <v>8907</v>
      </c>
      <c r="K74" s="10">
        <f>21339.1</f>
        <v>21339.1</v>
      </c>
      <c r="L74" s="10">
        <f>6357.1+24.1</f>
        <v>6381.2000000000007</v>
      </c>
      <c r="M74" s="10">
        <f>573.6</f>
        <v>573.6</v>
      </c>
      <c r="N74" s="10">
        <v>81784.3</v>
      </c>
      <c r="O74" s="10">
        <f>92288.9+2300+545.331</f>
        <v>95134.231</v>
      </c>
      <c r="P74" s="11">
        <f t="shared" si="7"/>
        <v>215009.83100000001</v>
      </c>
    </row>
    <row r="75" spans="2:16" ht="34.9" hidden="1" customHeight="1">
      <c r="B75" s="14">
        <v>39995</v>
      </c>
      <c r="C75" s="6">
        <v>68171.987999999998</v>
      </c>
      <c r="D75" s="6">
        <f>17910.2+547.2+505.3</f>
        <v>18962.7</v>
      </c>
      <c r="E75" s="6">
        <f>114328.7+812</f>
        <v>115140.7</v>
      </c>
      <c r="F75" s="6">
        <f>119521.953+536.25+1170+2917.19</f>
        <v>124145.393</v>
      </c>
      <c r="G75" s="7">
        <f t="shared" si="6"/>
        <v>326420.78099999996</v>
      </c>
      <c r="H75" s="6">
        <v>675.83900000000006</v>
      </c>
      <c r="I75" s="6">
        <v>418.4</v>
      </c>
      <c r="J75" s="6">
        <v>9901.9</v>
      </c>
      <c r="K75" s="6">
        <f>17320.3+1560+972.4+3678.4+1285.9</f>
        <v>24817.000000000004</v>
      </c>
      <c r="L75" s="6">
        <f>4392.4+900+989.572</f>
        <v>6281.9719999999998</v>
      </c>
      <c r="M75" s="6">
        <v>263.3</v>
      </c>
      <c r="N75" s="6">
        <f>30339.6+6848.6</f>
        <v>37188.199999999997</v>
      </c>
      <c r="O75" s="6">
        <f>53780.1+699.66</f>
        <v>54479.76</v>
      </c>
      <c r="P75" s="7">
        <f t="shared" si="7"/>
        <v>134026.37100000001</v>
      </c>
    </row>
    <row r="76" spans="2:16" ht="34.9" hidden="1" customHeight="1">
      <c r="B76" s="15">
        <v>40026</v>
      </c>
      <c r="C76" s="10">
        <f>38473.2+5234.2+1795.8+7580.6+2408.2+3263.9+11946</f>
        <v>70701.899999999994</v>
      </c>
      <c r="D76" s="10">
        <v>7532.6</v>
      </c>
      <c r="E76" s="10">
        <f>69468.8+11527.4+700+700+700+700+2025</f>
        <v>85821.2</v>
      </c>
      <c r="F76" s="10">
        <f>112734.9+591.4+1107.6+1010.5</f>
        <v>115444.4</v>
      </c>
      <c r="G76" s="11">
        <f t="shared" si="6"/>
        <v>279500.09999999998</v>
      </c>
      <c r="H76" s="10">
        <v>398.1</v>
      </c>
      <c r="I76" s="10">
        <v>1643.2</v>
      </c>
      <c r="J76" s="10">
        <v>16432.400000000001</v>
      </c>
      <c r="K76" s="10">
        <v>12754</v>
      </c>
      <c r="L76" s="10">
        <v>3506.8</v>
      </c>
      <c r="M76" s="10">
        <v>220.2</v>
      </c>
      <c r="N76" s="10">
        <v>20115.400000000001</v>
      </c>
      <c r="O76" s="10">
        <f>52371.3+695.5+550+666.6+848.4+1056+615+1020+530+902.9+606+505+507.5+507+1015+1100+500+500+639+630</f>
        <v>65765.200000000012</v>
      </c>
      <c r="P76" s="11">
        <f t="shared" si="7"/>
        <v>120835.30000000002</v>
      </c>
    </row>
    <row r="77" spans="2:16" ht="34.9" hidden="1" customHeight="1">
      <c r="B77" s="14">
        <v>40057</v>
      </c>
      <c r="C77" s="6">
        <f>52553.1+660+660</f>
        <v>53873.1</v>
      </c>
      <c r="D77" s="6">
        <v>10731.3</v>
      </c>
      <c r="E77" s="6">
        <f>159633.3+1305.7+660+660+1000+717.4+1300</f>
        <v>165276.4</v>
      </c>
      <c r="F77" s="6">
        <f>226636.8+956.6</f>
        <v>227593.4</v>
      </c>
      <c r="G77" s="7">
        <f t="shared" si="6"/>
        <v>457474.19999999995</v>
      </c>
      <c r="H77" s="6">
        <v>203.1</v>
      </c>
      <c r="I77" s="6">
        <v>130.69999999999999</v>
      </c>
      <c r="J77" s="6">
        <v>18642.3</v>
      </c>
      <c r="K77" s="6">
        <v>58468.3</v>
      </c>
      <c r="L77" s="6">
        <v>2511.8000000000002</v>
      </c>
      <c r="M77" s="6">
        <v>278.8</v>
      </c>
      <c r="N77" s="6">
        <v>21250.799999999999</v>
      </c>
      <c r="O77" s="6">
        <f>75693.4+1905+500+500+1030+1650+1597.5+955.5+995+560+724.5+504+924.5+1082.4+107</f>
        <v>88728.799999999988</v>
      </c>
      <c r="P77" s="7">
        <f t="shared" si="7"/>
        <v>190214.59999999998</v>
      </c>
    </row>
    <row r="78" spans="2:16" ht="34.9" hidden="1" customHeight="1">
      <c r="B78" s="15">
        <v>40087</v>
      </c>
      <c r="C78" s="10">
        <f>69838.15+46572.18</f>
        <v>116410.32999999999</v>
      </c>
      <c r="D78" s="10">
        <v>10201.5</v>
      </c>
      <c r="E78" s="10">
        <f>119477.3+2495.5+1420+700+805+861</f>
        <v>125758.8</v>
      </c>
      <c r="F78" s="10">
        <f>184843.4+855+600+840+500+1340+1750+690+732+648</f>
        <v>192798.4</v>
      </c>
      <c r="G78" s="11">
        <f t="shared" si="6"/>
        <v>445169.03</v>
      </c>
      <c r="H78" s="10">
        <v>3119.55</v>
      </c>
      <c r="I78" s="10">
        <v>189.5</v>
      </c>
      <c r="J78" s="10">
        <f>9047.96+16</f>
        <v>9063.9599999999991</v>
      </c>
      <c r="K78" s="10">
        <f>57838.57+612</f>
        <v>58450.57</v>
      </c>
      <c r="L78" s="10">
        <v>4468.1000000000004</v>
      </c>
      <c r="M78" s="10">
        <v>263.39999999999998</v>
      </c>
      <c r="N78" s="10">
        <v>12670.9</v>
      </c>
      <c r="O78" s="10">
        <f>68217.4+998.75+720+500+2320+1392+928+524+1355+945+500.5+500.5+589.6+804+1692.9+518.7+866.58+1345</f>
        <v>84717.93</v>
      </c>
      <c r="P78" s="11">
        <f t="shared" si="7"/>
        <v>172943.90999999997</v>
      </c>
    </row>
    <row r="79" spans="2:16" ht="34.9" hidden="1" customHeight="1">
      <c r="B79" s="14">
        <v>40118</v>
      </c>
      <c r="C79" s="6">
        <f>33638.2+600+500+500</f>
        <v>35238.199999999997</v>
      </c>
      <c r="D79" s="6">
        <f>9560.7</f>
        <v>9560.7000000000007</v>
      </c>
      <c r="E79" s="6">
        <f>86367.4+683.1+799.5+595+950+950</f>
        <v>90345</v>
      </c>
      <c r="F79" s="6">
        <f>107419.2+579.5+884+1503.8+504+550+1110+504+579.5</f>
        <v>113634</v>
      </c>
      <c r="G79" s="7">
        <f t="shared" si="6"/>
        <v>248777.9</v>
      </c>
      <c r="H79" s="6">
        <f>3792.9</f>
        <v>3792.9</v>
      </c>
      <c r="I79" s="6">
        <f>1073.4</f>
        <v>1073.4000000000001</v>
      </c>
      <c r="J79" s="6">
        <f>6862.8+75.8</f>
        <v>6938.6</v>
      </c>
      <c r="K79" s="6">
        <f>42547.1</f>
        <v>42547.1</v>
      </c>
      <c r="L79" s="6">
        <v>2477.3000000000002</v>
      </c>
      <c r="M79" s="6">
        <v>343.1</v>
      </c>
      <c r="N79" s="6">
        <v>10474.799999999999</v>
      </c>
      <c r="O79" s="6">
        <f>37981.9+1300+1170+27300+1504+1021.5+2043+1452.8+567.5+1021.5+540+540+993.6+540+1017+565+565+1096.1+1549.5+1165+840+622.5+1260+622.5+610+762.5+1984+999+521.7+1032+1152.8+1152.8+1048+1493.5+504.7</f>
        <v>98539.400000000009</v>
      </c>
      <c r="P79" s="7">
        <f t="shared" si="7"/>
        <v>166186.6</v>
      </c>
    </row>
    <row r="80" spans="2:16" ht="34.9" hidden="1" customHeight="1">
      <c r="B80" s="15">
        <v>40148</v>
      </c>
      <c r="C80" s="10">
        <v>51291.7</v>
      </c>
      <c r="D80" s="10">
        <v>17446.8</v>
      </c>
      <c r="E80" s="10">
        <v>141772.1</v>
      </c>
      <c r="F80" s="10">
        <v>163043.1</v>
      </c>
      <c r="G80" s="11">
        <f t="shared" si="6"/>
        <v>373553.7</v>
      </c>
      <c r="H80" s="10">
        <v>1157.9000000000001</v>
      </c>
      <c r="I80" s="10">
        <v>4878.3999999999996</v>
      </c>
      <c r="J80" s="10">
        <v>18583.8</v>
      </c>
      <c r="K80" s="10">
        <v>46796.200000000004</v>
      </c>
      <c r="L80" s="10">
        <v>2790.1</v>
      </c>
      <c r="M80" s="10">
        <v>2911.3</v>
      </c>
      <c r="N80" s="10">
        <v>17868.7</v>
      </c>
      <c r="O80" s="10">
        <v>108869.3</v>
      </c>
      <c r="P80" s="11">
        <f t="shared" si="7"/>
        <v>203855.7</v>
      </c>
    </row>
    <row r="81" spans="2:16" ht="34.9" hidden="1" customHeight="1">
      <c r="B81" s="3">
        <v>2010</v>
      </c>
      <c r="C81" s="12"/>
      <c r="D81" s="12"/>
      <c r="E81" s="12"/>
      <c r="F81" s="12"/>
      <c r="G81" s="13"/>
      <c r="H81" s="12"/>
      <c r="I81" s="12"/>
      <c r="J81" s="12"/>
      <c r="K81" s="12"/>
      <c r="L81" s="12"/>
      <c r="M81" s="12"/>
      <c r="N81" s="12"/>
      <c r="O81" s="12"/>
      <c r="P81" s="13"/>
    </row>
    <row r="82" spans="2:16" ht="34.9" hidden="1" customHeight="1">
      <c r="B82" s="14">
        <v>40179</v>
      </c>
      <c r="C82" s="6">
        <f>29785+2104.5+4329.1+5912.5</f>
        <v>42131.1</v>
      </c>
      <c r="D82" s="6">
        <f>11038.5+3200+4953+1524+966.4+1524+4953+722.1+3561.7</f>
        <v>32442.7</v>
      </c>
      <c r="E82" s="6">
        <f>93052.9</f>
        <v>93052.9</v>
      </c>
      <c r="F82" s="6">
        <f>128813+634.3+504+708+503.1+500.6+536+892.9+797.6+701.1+905.9+713.4+658.8+977.5+895+770+800.8+551.3+728+650+1057.1+905.6+510.6</f>
        <v>144714.59999999998</v>
      </c>
      <c r="G82" s="7">
        <f t="shared" ref="G82:G93" si="8">SUM(C82:F82)</f>
        <v>312341.3</v>
      </c>
      <c r="H82" s="6">
        <f>273.5</f>
        <v>273.5</v>
      </c>
      <c r="I82" s="6">
        <f>152.2</f>
        <v>152.19999999999999</v>
      </c>
      <c r="J82" s="6">
        <f>12642.8+1650</f>
        <v>14292.8</v>
      </c>
      <c r="K82" s="6">
        <f>57460</f>
        <v>57460</v>
      </c>
      <c r="L82" s="6">
        <f>2519.9</f>
        <v>2519.9</v>
      </c>
      <c r="M82" s="6">
        <f>217.2</f>
        <v>217.2</v>
      </c>
      <c r="N82" s="6">
        <f>14628.3</f>
        <v>14628.3</v>
      </c>
      <c r="O82" s="6">
        <f>61302.8+557.5+669+1048.1+1136.3+535.2+551.3+998.3+1043+521.5+521.5+1329.6+587.5+963.5+1292.5+528.8+732+972.8+829.6+590+1180+590+531+1130+1062.2+1161.6+931.7+1273.5+1519+1004.5+507.4+2374.8+731.6+1552.4+711+1042.8+1505+1128.8+989+506+2214.5+1071.6+990+963.6+1283+1456.6+612+642.6+963.5+846+934.8+533.4+508</f>
        <v>111162.70000000004</v>
      </c>
      <c r="P82" s="7">
        <f t="shared" ref="P82:P93" si="9">SUM(H82:O82)</f>
        <v>200706.60000000003</v>
      </c>
    </row>
    <row r="83" spans="2:16" ht="34.9" hidden="1" customHeight="1">
      <c r="B83" s="15">
        <v>40210</v>
      </c>
      <c r="C83" s="10">
        <f>49580.4+1668.9+951.6+834.2+831.8+526.4</f>
        <v>54393.3</v>
      </c>
      <c r="D83" s="10">
        <v>19299.2</v>
      </c>
      <c r="E83" s="10">
        <v>85586.6</v>
      </c>
      <c r="F83" s="10">
        <v>121367.6</v>
      </c>
      <c r="G83" s="11">
        <f t="shared" si="8"/>
        <v>280646.7</v>
      </c>
      <c r="H83" s="10">
        <v>172.2</v>
      </c>
      <c r="I83" s="10">
        <v>165.8</v>
      </c>
      <c r="J83" s="10">
        <v>7235.9</v>
      </c>
      <c r="K83" s="10">
        <v>35531.5</v>
      </c>
      <c r="L83" s="10">
        <v>3649.2</v>
      </c>
      <c r="M83" s="10">
        <v>355.7</v>
      </c>
      <c r="N83" s="10">
        <v>7294.7</v>
      </c>
      <c r="O83" s="10">
        <v>106495.6</v>
      </c>
      <c r="P83" s="11">
        <f t="shared" si="9"/>
        <v>160900.6</v>
      </c>
    </row>
    <row r="84" spans="2:16" ht="34.9" hidden="1" customHeight="1">
      <c r="B84" s="14">
        <v>40238</v>
      </c>
      <c r="C84" s="6">
        <f>85184.1+61600.1</f>
        <v>146784.20000000001</v>
      </c>
      <c r="D84" s="6">
        <f>14395.5+581.1+713+713.7+1004</f>
        <v>17407.3</v>
      </c>
      <c r="E84" s="6">
        <f>177815+1712.1+550+972+930+984.6+1807.2+2880+4420+509.7</f>
        <v>192580.60000000003</v>
      </c>
      <c r="F84" s="6">
        <f>269046+535+740.8+602.6+511.5+748+756.8+893.6+576+539.5+833.3+1032+863.1+507.2+976+516.6+608+600+505.6+504+2725.6+828+734.5+559.1+1680+542.5</f>
        <v>288965.29999999981</v>
      </c>
      <c r="G84" s="7">
        <f t="shared" si="8"/>
        <v>645737.39999999991</v>
      </c>
      <c r="H84" s="6">
        <f>827.8</f>
        <v>827.8</v>
      </c>
      <c r="I84" s="6">
        <f>244.4</f>
        <v>244.4</v>
      </c>
      <c r="J84" s="6">
        <f>19210.1</f>
        <v>19210.099999999999</v>
      </c>
      <c r="K84" s="6">
        <f>55006.1+516.8</f>
        <v>55522.9</v>
      </c>
      <c r="L84" s="6">
        <f>4310.4</f>
        <v>4310.3999999999996</v>
      </c>
      <c r="M84" s="6">
        <f>392.9</f>
        <v>392.9</v>
      </c>
      <c r="N84" s="6">
        <f>6238.6</f>
        <v>6238.6</v>
      </c>
      <c r="O84" s="6">
        <f>69069+517.4+506+600+1884+1125+1200+829.5+590+836.5+598+854+941.7+1095+941.7+1145+884.9+916+517.5+517.5+517.5+690+822.6+506.3</f>
        <v>88105.099999999991</v>
      </c>
      <c r="P84" s="7">
        <f t="shared" si="9"/>
        <v>174852.19999999998</v>
      </c>
    </row>
    <row r="85" spans="2:16" ht="34.9" hidden="1" customHeight="1">
      <c r="B85" s="15">
        <v>40269</v>
      </c>
      <c r="C85" s="10">
        <f>58128.8+4801.5+1948.4+1106</f>
        <v>65984.700000000012</v>
      </c>
      <c r="D85" s="10">
        <f>16874.9+503.1+1041.9+739.9+740.6+594.8+507.1</f>
        <v>21002.3</v>
      </c>
      <c r="E85" s="10">
        <f>389752.3+995+514.9+1387.9</f>
        <v>392650.10000000003</v>
      </c>
      <c r="F85" s="10">
        <f>364877.4+669+1071.3+567+894.7+1108+926.7+603.4+561+10559.5</f>
        <v>381838.00000000006</v>
      </c>
      <c r="G85" s="11">
        <f t="shared" si="8"/>
        <v>861475.10000000009</v>
      </c>
      <c r="H85" s="10">
        <f>509.4</f>
        <v>509.4</v>
      </c>
      <c r="I85" s="10">
        <f>197.5</f>
        <v>197.5</v>
      </c>
      <c r="J85" s="10">
        <f>15335.2</f>
        <v>15335.2</v>
      </c>
      <c r="K85" s="10">
        <f>25007</f>
        <v>25007</v>
      </c>
      <c r="L85" s="10">
        <f>6171.1</f>
        <v>6171.1</v>
      </c>
      <c r="M85" s="10">
        <f>547.5</f>
        <v>547.5</v>
      </c>
      <c r="N85" s="10">
        <f>10145.2</f>
        <v>10145.200000000001</v>
      </c>
      <c r="O85" s="10">
        <f>56849.1+1019.5+501.1+1805.8+531.7+532.5+894.5+2576+675.6</f>
        <v>65385.799999999996</v>
      </c>
      <c r="P85" s="11">
        <f t="shared" si="9"/>
        <v>123298.69999999998</v>
      </c>
    </row>
    <row r="86" spans="2:16" ht="34.9" hidden="1" customHeight="1">
      <c r="B86" s="14">
        <v>40299</v>
      </c>
      <c r="C86" s="6">
        <f>42362.9+14050.4</f>
        <v>56413.3</v>
      </c>
      <c r="D86" s="6">
        <f>9443.1+502.2</f>
        <v>9945.3000000000011</v>
      </c>
      <c r="E86" s="6">
        <f>179207.2+790+560+507.3+4920+926.5</f>
        <v>186911</v>
      </c>
      <c r="F86" s="6">
        <f>137616.9+727.5+7965.9</f>
        <v>146310.29999999999</v>
      </c>
      <c r="G86" s="7">
        <f t="shared" si="8"/>
        <v>399579.9</v>
      </c>
      <c r="H86" s="6">
        <v>1241.5</v>
      </c>
      <c r="I86" s="6">
        <v>2423.9</v>
      </c>
      <c r="J86" s="6">
        <v>14574</v>
      </c>
      <c r="K86" s="6">
        <f>18319.4+39.5</f>
        <v>18358.900000000001</v>
      </c>
      <c r="L86" s="6">
        <v>3032.7</v>
      </c>
      <c r="M86" s="6">
        <v>395.6</v>
      </c>
      <c r="N86" s="6">
        <v>8619.1</v>
      </c>
      <c r="O86" s="6">
        <f>58607.3+808+503.7+716.1+2376.2+503.8+503.8+585+506.3+508.1+1485+618.8+508.2</f>
        <v>68230.3</v>
      </c>
      <c r="P86" s="7">
        <f t="shared" si="9"/>
        <v>116876</v>
      </c>
    </row>
    <row r="87" spans="2:16" ht="34.9" hidden="1" customHeight="1">
      <c r="B87" s="15">
        <v>40330</v>
      </c>
      <c r="C87" s="10">
        <f>52234.325+20348.817+3740.724+7229.8</f>
        <v>83553.665999999997</v>
      </c>
      <c r="D87" s="10">
        <v>17133.099999999999</v>
      </c>
      <c r="E87" s="10">
        <f>126523.719+520</f>
        <v>127043.719</v>
      </c>
      <c r="F87" s="10">
        <f>96564.6+540</f>
        <v>97104.6</v>
      </c>
      <c r="G87" s="11">
        <f t="shared" si="8"/>
        <v>324835.08499999996</v>
      </c>
      <c r="H87" s="10">
        <v>637.20000000000005</v>
      </c>
      <c r="I87" s="10">
        <v>1154.1890000000001</v>
      </c>
      <c r="J87" s="10">
        <v>19374.758000000002</v>
      </c>
      <c r="K87" s="10">
        <v>12150.44</v>
      </c>
      <c r="L87" s="10">
        <v>1998.5</v>
      </c>
      <c r="M87" s="10">
        <v>1280.4449999999999</v>
      </c>
      <c r="N87" s="10">
        <v>10963.805</v>
      </c>
      <c r="O87" s="10">
        <f>66888.416+795.083+537.3+897.7+1089</f>
        <v>70207.498999999996</v>
      </c>
      <c r="P87" s="11">
        <f t="shared" si="9"/>
        <v>117766.836</v>
      </c>
    </row>
    <row r="88" spans="2:16" ht="34.9" hidden="1" customHeight="1">
      <c r="B88" s="14">
        <v>40360</v>
      </c>
      <c r="C88" s="6">
        <f>28550.625+2150+3053.147</f>
        <v>33753.771999999997</v>
      </c>
      <c r="D88" s="6">
        <v>19703.2</v>
      </c>
      <c r="E88" s="6">
        <f>116066+567+993+567+576+576</f>
        <v>119345</v>
      </c>
      <c r="F88" s="6">
        <f>104619.5+3350</f>
        <v>107969.5</v>
      </c>
      <c r="G88" s="7">
        <f t="shared" si="8"/>
        <v>280771.47200000001</v>
      </c>
      <c r="H88" s="6">
        <v>518.6</v>
      </c>
      <c r="I88" s="6">
        <v>875.73</v>
      </c>
      <c r="J88" s="6">
        <v>13602.351000000001</v>
      </c>
      <c r="K88" s="6">
        <v>12785.41</v>
      </c>
      <c r="L88" s="6">
        <v>1205.31</v>
      </c>
      <c r="M88" s="6">
        <v>1098.692</v>
      </c>
      <c r="N88" s="6">
        <v>4100.326</v>
      </c>
      <c r="O88" s="6">
        <f>72163.243+577.1+692.86+743.36+535.8+985.8+1158+511.5+778.05+585+577.1+990.255</f>
        <v>80298.068000000028</v>
      </c>
      <c r="P88" s="7">
        <f t="shared" si="9"/>
        <v>114484.48700000002</v>
      </c>
    </row>
    <row r="89" spans="2:16" ht="34.9" hidden="1" customHeight="1">
      <c r="B89" s="15">
        <v>40391</v>
      </c>
      <c r="C89" s="10">
        <v>46990.472999999998</v>
      </c>
      <c r="D89" s="10">
        <v>22840.3</v>
      </c>
      <c r="E89" s="10">
        <f>81971.7+823.8+837+560</f>
        <v>84192.5</v>
      </c>
      <c r="F89" s="10">
        <f>61533+550</f>
        <v>62083</v>
      </c>
      <c r="G89" s="11">
        <f t="shared" si="8"/>
        <v>216106.27299999999</v>
      </c>
      <c r="H89" s="10">
        <v>1571.768</v>
      </c>
      <c r="I89" s="10">
        <v>197.56399999999999</v>
      </c>
      <c r="J89" s="10">
        <v>23955.241999999998</v>
      </c>
      <c r="K89" s="10">
        <f>25735.5+528</f>
        <v>26263.5</v>
      </c>
      <c r="L89" s="10">
        <v>2645.3</v>
      </c>
      <c r="M89" s="10">
        <v>572.48699999999997</v>
      </c>
      <c r="N89" s="10">
        <v>5007.0609999999997</v>
      </c>
      <c r="O89" s="10">
        <f>115493.512+530.4+3207.6+1065.3+1008+1095+2185+737.8+825.86+713.9</f>
        <v>126862.372</v>
      </c>
      <c r="P89" s="11">
        <f t="shared" si="9"/>
        <v>187075.29399999999</v>
      </c>
    </row>
    <row r="90" spans="2:16" ht="34.9" hidden="1" customHeight="1">
      <c r="B90" s="14">
        <v>40422</v>
      </c>
      <c r="C90" s="6">
        <f>28203+45898.5</f>
        <v>74101.5</v>
      </c>
      <c r="D90" s="6">
        <v>24324.2</v>
      </c>
      <c r="E90" s="6">
        <f>101703.9+1098+567.1</f>
        <v>103369</v>
      </c>
      <c r="F90" s="6">
        <v>84245</v>
      </c>
      <c r="G90" s="7">
        <f t="shared" si="8"/>
        <v>286039.7</v>
      </c>
      <c r="H90" s="6">
        <v>2565.4</v>
      </c>
      <c r="I90" s="6">
        <v>609.79999999999995</v>
      </c>
      <c r="J90" s="6">
        <v>33641.4</v>
      </c>
      <c r="K90" s="6">
        <v>32425.7</v>
      </c>
      <c r="L90" s="6">
        <v>1152.5999999999999</v>
      </c>
      <c r="M90" s="6">
        <v>368.4</v>
      </c>
      <c r="N90" s="6">
        <v>6346</v>
      </c>
      <c r="O90" s="6">
        <f>115893.4+22619.8-574.7</f>
        <v>137938.49999999997</v>
      </c>
      <c r="P90" s="7">
        <f t="shared" si="9"/>
        <v>215047.8</v>
      </c>
    </row>
    <row r="91" spans="2:16" ht="34.9" hidden="1" customHeight="1">
      <c r="B91" s="15">
        <v>40452</v>
      </c>
      <c r="C91" s="10">
        <f>27723.6+8501.1</f>
        <v>36224.699999999997</v>
      </c>
      <c r="D91" s="10">
        <v>20951.599999999999</v>
      </c>
      <c r="E91" s="10">
        <f>65891.6+2550+510</f>
        <v>68951.600000000006</v>
      </c>
      <c r="F91" s="10">
        <v>63203.4</v>
      </c>
      <c r="G91" s="11">
        <f t="shared" si="8"/>
        <v>189331.3</v>
      </c>
      <c r="H91" s="10">
        <v>2428.8000000000002</v>
      </c>
      <c r="I91" s="10">
        <v>919.3</v>
      </c>
      <c r="J91" s="10">
        <v>24681.3</v>
      </c>
      <c r="K91" s="10">
        <v>28353.1</v>
      </c>
      <c r="L91" s="10">
        <v>2390.3000000000002</v>
      </c>
      <c r="M91" s="10">
        <v>1073.5999999999999</v>
      </c>
      <c r="N91" s="10">
        <v>6812</v>
      </c>
      <c r="O91" s="10">
        <v>90557.2</v>
      </c>
      <c r="P91" s="11">
        <f t="shared" si="9"/>
        <v>157215.59999999998</v>
      </c>
    </row>
    <row r="92" spans="2:16" ht="34.9" hidden="1" customHeight="1">
      <c r="B92" s="14">
        <v>40483</v>
      </c>
      <c r="C92" s="6">
        <f>25403.5+755.7</f>
        <v>26159.200000000001</v>
      </c>
      <c r="D92" s="6">
        <v>15066.3</v>
      </c>
      <c r="E92" s="6">
        <v>48390.1</v>
      </c>
      <c r="F92" s="6">
        <v>43880.5</v>
      </c>
      <c r="G92" s="7">
        <f t="shared" si="8"/>
        <v>133496.1</v>
      </c>
      <c r="H92" s="6">
        <v>511.2</v>
      </c>
      <c r="I92" s="6">
        <v>853.7</v>
      </c>
      <c r="J92" s="6">
        <v>15576.1</v>
      </c>
      <c r="K92" s="6">
        <v>15362.9</v>
      </c>
      <c r="L92" s="6">
        <v>1346.7</v>
      </c>
      <c r="M92" s="6">
        <v>1753</v>
      </c>
      <c r="N92" s="6">
        <v>3658.1</v>
      </c>
      <c r="O92" s="6">
        <f>65891.1+619.5+501.6+937+1844.6+1066.9+963.9+698.8+529+2294.8+1402.6+948.6+507.5+930+976.5</f>
        <v>80112.400000000023</v>
      </c>
      <c r="P92" s="7">
        <f t="shared" si="9"/>
        <v>119174.10000000002</v>
      </c>
    </row>
    <row r="93" spans="2:16" ht="34.9" hidden="1" customHeight="1">
      <c r="B93" s="15">
        <v>40513</v>
      </c>
      <c r="C93" s="10">
        <f>40607.6+870+830.1+4025.6</f>
        <v>46333.299999999996</v>
      </c>
      <c r="D93" s="10">
        <v>22112</v>
      </c>
      <c r="E93" s="10">
        <f>52351.9+840+998.4</f>
        <v>54190.3</v>
      </c>
      <c r="F93" s="10">
        <f>117882.7+882+882+1470</f>
        <v>121116.7</v>
      </c>
      <c r="G93" s="11">
        <f t="shared" si="8"/>
        <v>243752.3</v>
      </c>
      <c r="H93" s="10">
        <v>299.2</v>
      </c>
      <c r="I93" s="10">
        <v>424.4</v>
      </c>
      <c r="J93" s="10">
        <v>19330.8</v>
      </c>
      <c r="K93" s="10">
        <v>18831.7</v>
      </c>
      <c r="L93" s="10">
        <v>1741.4</v>
      </c>
      <c r="M93" s="10">
        <v>1121.2</v>
      </c>
      <c r="N93" s="10">
        <v>6126.4</v>
      </c>
      <c r="O93" s="10">
        <f>5118.8+504+501.8+695.5+1872.5+697.6</f>
        <v>9390.2000000000007</v>
      </c>
      <c r="P93" s="11">
        <f t="shared" si="9"/>
        <v>57265.3</v>
      </c>
    </row>
    <row r="94" spans="2:16" ht="34.9" hidden="1" customHeight="1">
      <c r="B94" s="3">
        <v>2011</v>
      </c>
      <c r="C94" s="12"/>
      <c r="D94" s="12"/>
      <c r="E94" s="12"/>
      <c r="F94" s="12"/>
      <c r="G94" s="13"/>
      <c r="H94" s="12"/>
      <c r="I94" s="12"/>
      <c r="J94" s="12"/>
      <c r="K94" s="12"/>
      <c r="L94" s="12"/>
      <c r="M94" s="12"/>
      <c r="N94" s="12"/>
      <c r="O94" s="12"/>
      <c r="P94" s="13"/>
    </row>
    <row r="95" spans="2:16" ht="34.9" hidden="1" customHeight="1">
      <c r="B95" s="14">
        <v>40544</v>
      </c>
      <c r="C95" s="6">
        <f>39614.6+5336.5</f>
        <v>44951.1</v>
      </c>
      <c r="D95" s="6">
        <v>8273.2000000000007</v>
      </c>
      <c r="E95" s="6">
        <v>41922.800000000003</v>
      </c>
      <c r="F95" s="6">
        <v>107629.4</v>
      </c>
      <c r="G95" s="7">
        <f t="shared" ref="G95:G106" si="10">SUM(C95:F95)</f>
        <v>202776.5</v>
      </c>
      <c r="H95" s="6">
        <v>368.7</v>
      </c>
      <c r="I95" s="6">
        <v>989.2</v>
      </c>
      <c r="J95" s="6">
        <v>26415.1</v>
      </c>
      <c r="K95" s="6">
        <v>26478.3</v>
      </c>
      <c r="L95" s="6">
        <v>2739</v>
      </c>
      <c r="M95" s="6">
        <v>474.9</v>
      </c>
      <c r="N95" s="6">
        <v>13751.8</v>
      </c>
      <c r="O95" s="6">
        <v>10339.9</v>
      </c>
      <c r="P95" s="7">
        <f t="shared" ref="P95:P106" si="11">SUM(H95:O95)</f>
        <v>81556.899999999994</v>
      </c>
    </row>
    <row r="96" spans="2:16" ht="34.9" hidden="1" customHeight="1">
      <c r="B96" s="15">
        <v>40575</v>
      </c>
      <c r="C96" s="10">
        <f>31246.5+5550</f>
        <v>36796.5</v>
      </c>
      <c r="D96" s="10">
        <v>6909</v>
      </c>
      <c r="E96" s="10">
        <v>31337</v>
      </c>
      <c r="F96" s="10">
        <f>54442.1+660.7+601.6</f>
        <v>55704.399999999994</v>
      </c>
      <c r="G96" s="11">
        <f t="shared" si="10"/>
        <v>130746.9</v>
      </c>
      <c r="H96" s="10">
        <v>78.900000000000006</v>
      </c>
      <c r="I96" s="10">
        <v>390.4</v>
      </c>
      <c r="J96" s="10">
        <v>9427.2999999999993</v>
      </c>
      <c r="K96" s="10">
        <v>11083</v>
      </c>
      <c r="L96" s="10">
        <v>2091</v>
      </c>
      <c r="M96" s="10">
        <v>201.5</v>
      </c>
      <c r="N96" s="10">
        <v>4752.1000000000004</v>
      </c>
      <c r="O96" s="10">
        <v>6908.6</v>
      </c>
      <c r="P96" s="11">
        <f t="shared" si="11"/>
        <v>34932.799999999996</v>
      </c>
    </row>
    <row r="97" spans="2:16" ht="34.9" hidden="1" customHeight="1">
      <c r="B97" s="14">
        <v>40603</v>
      </c>
      <c r="C97" s="6">
        <f>60788.2+895+590.2</f>
        <v>62273.399999999994</v>
      </c>
      <c r="D97" s="6">
        <v>8856</v>
      </c>
      <c r="E97" s="6">
        <v>51155.9</v>
      </c>
      <c r="F97" s="6">
        <v>58926.9</v>
      </c>
      <c r="G97" s="7">
        <f t="shared" si="10"/>
        <v>181212.19999999998</v>
      </c>
      <c r="H97" s="6">
        <v>51.7</v>
      </c>
      <c r="I97" s="6">
        <v>1779.3</v>
      </c>
      <c r="J97" s="6">
        <v>13508.9</v>
      </c>
      <c r="K97" s="6">
        <v>11972</v>
      </c>
      <c r="L97" s="6">
        <v>1932.7</v>
      </c>
      <c r="M97" s="6">
        <v>383.5</v>
      </c>
      <c r="N97" s="6">
        <v>7516.3</v>
      </c>
      <c r="O97" s="6">
        <v>6207.7</v>
      </c>
      <c r="P97" s="7">
        <f t="shared" si="11"/>
        <v>43352.1</v>
      </c>
    </row>
    <row r="98" spans="2:16" ht="34.9" hidden="1" customHeight="1">
      <c r="B98" s="15">
        <v>40634</v>
      </c>
      <c r="C98" s="10">
        <f>26276.2+6011.4+2584.8+2584.8+2584.7+17940.1</f>
        <v>57982</v>
      </c>
      <c r="D98" s="10">
        <f>4445.4+625.6</f>
        <v>5071</v>
      </c>
      <c r="E98" s="10">
        <f>47691.7+870+603.2</f>
        <v>49164.899999999994</v>
      </c>
      <c r="F98" s="10">
        <v>63800.7</v>
      </c>
      <c r="G98" s="11">
        <f t="shared" si="10"/>
        <v>176018.59999999998</v>
      </c>
      <c r="H98" s="10">
        <v>293.3</v>
      </c>
      <c r="I98" s="10">
        <v>354.1</v>
      </c>
      <c r="J98" s="10">
        <f>7767.5+4950</f>
        <v>12717.5</v>
      </c>
      <c r="K98" s="10">
        <v>11207.7</v>
      </c>
      <c r="L98" s="10">
        <v>1256.9000000000001</v>
      </c>
      <c r="M98" s="10">
        <v>309.7</v>
      </c>
      <c r="N98" s="10">
        <v>11536.4</v>
      </c>
      <c r="O98" s="10">
        <v>11615.7</v>
      </c>
      <c r="P98" s="11">
        <f t="shared" si="11"/>
        <v>49291.3</v>
      </c>
    </row>
    <row r="99" spans="2:16" ht="34.9" hidden="1" customHeight="1">
      <c r="B99" s="14">
        <v>40664</v>
      </c>
      <c r="C99" s="6">
        <f>37657.7+2718.4</f>
        <v>40376.1</v>
      </c>
      <c r="D99" s="6">
        <v>5003.3999999999996</v>
      </c>
      <c r="E99" s="6">
        <f>79709.6+615.6</f>
        <v>80325.200000000012</v>
      </c>
      <c r="F99" s="6">
        <f>96047.3+639.2</f>
        <v>96686.5</v>
      </c>
      <c r="G99" s="7">
        <f t="shared" si="10"/>
        <v>222391.2</v>
      </c>
      <c r="H99" s="6">
        <v>219.1</v>
      </c>
      <c r="I99" s="6">
        <v>617</v>
      </c>
      <c r="J99" s="6">
        <v>10320</v>
      </c>
      <c r="K99" s="6">
        <v>7000.7</v>
      </c>
      <c r="L99" s="6">
        <v>1171.0999999999999</v>
      </c>
      <c r="M99" s="6">
        <v>2219.1</v>
      </c>
      <c r="N99" s="6">
        <v>8060</v>
      </c>
      <c r="O99" s="6">
        <v>19786.599999999999</v>
      </c>
      <c r="P99" s="7">
        <f t="shared" si="11"/>
        <v>49393.599999999991</v>
      </c>
    </row>
    <row r="100" spans="2:16" ht="34.9" hidden="1" customHeight="1">
      <c r="B100" s="15">
        <v>40695</v>
      </c>
      <c r="C100" s="10">
        <v>38695.199999999997</v>
      </c>
      <c r="D100" s="10">
        <v>6018</v>
      </c>
      <c r="E100" s="10">
        <v>54071</v>
      </c>
      <c r="F100" s="10">
        <v>79950.3</v>
      </c>
      <c r="G100" s="11">
        <f t="shared" si="10"/>
        <v>178734.5</v>
      </c>
      <c r="H100" s="10">
        <v>1811.9</v>
      </c>
      <c r="I100" s="10">
        <v>317.5</v>
      </c>
      <c r="J100" s="10">
        <v>7427.8</v>
      </c>
      <c r="K100" s="10">
        <v>7137.8</v>
      </c>
      <c r="L100" s="10">
        <v>1680.7</v>
      </c>
      <c r="M100" s="10">
        <v>785.9</v>
      </c>
      <c r="N100" s="10">
        <v>4838.8</v>
      </c>
      <c r="O100" s="10">
        <v>8118.7</v>
      </c>
      <c r="P100" s="11">
        <f t="shared" si="11"/>
        <v>32119.100000000002</v>
      </c>
    </row>
    <row r="101" spans="2:16" ht="34.9" hidden="1" customHeight="1">
      <c r="B101" s="14">
        <v>40725</v>
      </c>
      <c r="C101" s="6">
        <v>30083.200000000001</v>
      </c>
      <c r="D101" s="6">
        <v>6342.9</v>
      </c>
      <c r="E101" s="6">
        <v>35433.5</v>
      </c>
      <c r="F101" s="6">
        <f>78950.6+1138.6</f>
        <v>80089.200000000012</v>
      </c>
      <c r="G101" s="7">
        <f t="shared" si="10"/>
        <v>151948.80000000002</v>
      </c>
      <c r="H101" s="6">
        <v>143.4</v>
      </c>
      <c r="I101" s="6">
        <v>549.1</v>
      </c>
      <c r="J101" s="6">
        <v>9204.7000000000007</v>
      </c>
      <c r="K101" s="6">
        <f>6911+4605</f>
        <v>11516</v>
      </c>
      <c r="L101" s="6">
        <v>3125</v>
      </c>
      <c r="M101" s="6">
        <v>2441.4</v>
      </c>
      <c r="N101" s="6">
        <v>4475.3</v>
      </c>
      <c r="O101" s="6">
        <v>12124.3</v>
      </c>
      <c r="P101" s="7">
        <f t="shared" si="11"/>
        <v>43579.199999999997</v>
      </c>
    </row>
    <row r="102" spans="2:16" ht="34.9" hidden="1" customHeight="1">
      <c r="B102" s="15">
        <v>40756</v>
      </c>
      <c r="C102" s="10">
        <v>25647.9</v>
      </c>
      <c r="D102" s="10">
        <v>4675</v>
      </c>
      <c r="E102" s="10">
        <v>22591.5</v>
      </c>
      <c r="F102" s="10">
        <v>49670.3</v>
      </c>
      <c r="G102" s="11">
        <f t="shared" si="10"/>
        <v>102584.70000000001</v>
      </c>
      <c r="H102" s="10">
        <v>190.1</v>
      </c>
      <c r="I102" s="10">
        <v>181.8</v>
      </c>
      <c r="J102" s="10">
        <v>13630.7</v>
      </c>
      <c r="K102" s="10">
        <v>10381.799999999999</v>
      </c>
      <c r="L102" s="10">
        <v>1200.9000000000001</v>
      </c>
      <c r="M102" s="10">
        <v>393.5</v>
      </c>
      <c r="N102" s="10">
        <v>3028.8</v>
      </c>
      <c r="O102" s="10">
        <v>17373</v>
      </c>
      <c r="P102" s="11">
        <f t="shared" si="11"/>
        <v>46380.600000000006</v>
      </c>
    </row>
    <row r="103" spans="2:16" ht="34.9" hidden="1" customHeight="1">
      <c r="B103" s="14">
        <v>40787</v>
      </c>
      <c r="C103" s="6">
        <v>28465.5</v>
      </c>
      <c r="D103" s="6">
        <v>7070.3</v>
      </c>
      <c r="E103" s="6">
        <v>37280.199999999997</v>
      </c>
      <c r="F103" s="6">
        <v>49852.2</v>
      </c>
      <c r="G103" s="7">
        <f t="shared" si="10"/>
        <v>122668.2</v>
      </c>
      <c r="H103" s="6">
        <v>699.8</v>
      </c>
      <c r="I103" s="6">
        <v>324.3</v>
      </c>
      <c r="J103" s="6">
        <v>12673.5</v>
      </c>
      <c r="K103" s="6">
        <v>12815.5</v>
      </c>
      <c r="L103" s="6">
        <v>921.7</v>
      </c>
      <c r="M103" s="6">
        <v>200.8</v>
      </c>
      <c r="N103" s="6">
        <v>3298</v>
      </c>
      <c r="O103" s="6">
        <v>23307.1</v>
      </c>
      <c r="P103" s="7">
        <f t="shared" si="11"/>
        <v>54240.7</v>
      </c>
    </row>
    <row r="104" spans="2:16" ht="34.9" hidden="1" customHeight="1">
      <c r="B104" s="15">
        <v>40817</v>
      </c>
      <c r="C104" s="10">
        <f>40775.5+5654</f>
        <v>46429.5</v>
      </c>
      <c r="D104" s="10">
        <v>5651.5</v>
      </c>
      <c r="E104" s="10">
        <v>27476.400000000001</v>
      </c>
      <c r="F104" s="10">
        <v>38717.599999999999</v>
      </c>
      <c r="G104" s="11">
        <f t="shared" si="10"/>
        <v>118275</v>
      </c>
      <c r="H104" s="10">
        <v>283.10000000000002</v>
      </c>
      <c r="I104" s="10">
        <v>294.3</v>
      </c>
      <c r="J104" s="10">
        <v>10178.299999999999</v>
      </c>
      <c r="K104" s="10">
        <v>9111.2000000000007</v>
      </c>
      <c r="L104" s="10">
        <v>889.8</v>
      </c>
      <c r="M104" s="10">
        <v>400.2</v>
      </c>
      <c r="N104" s="10">
        <v>7650</v>
      </c>
      <c r="O104" s="10">
        <v>13105.4</v>
      </c>
      <c r="P104" s="11">
        <f t="shared" si="11"/>
        <v>41912.300000000003</v>
      </c>
    </row>
    <row r="105" spans="2:16" ht="34.9" hidden="1" customHeight="1">
      <c r="B105" s="14">
        <v>40848</v>
      </c>
      <c r="C105" s="6">
        <v>16176.9</v>
      </c>
      <c r="D105" s="6">
        <v>3441.6</v>
      </c>
      <c r="E105" s="6">
        <v>16556.900000000001</v>
      </c>
      <c r="F105" s="6">
        <f>33763.4+817</f>
        <v>34580.400000000001</v>
      </c>
      <c r="G105" s="7">
        <f t="shared" si="10"/>
        <v>70755.8</v>
      </c>
      <c r="H105" s="6">
        <v>282.60000000000002</v>
      </c>
      <c r="I105" s="6">
        <v>504.5</v>
      </c>
      <c r="J105" s="6">
        <v>9424.7999999999993</v>
      </c>
      <c r="K105" s="6">
        <v>5199.2</v>
      </c>
      <c r="L105" s="6">
        <v>977.9</v>
      </c>
      <c r="M105" s="6">
        <v>1364.5</v>
      </c>
      <c r="N105" s="6">
        <v>18731</v>
      </c>
      <c r="O105" s="6">
        <v>13365.3</v>
      </c>
      <c r="P105" s="7">
        <f t="shared" si="11"/>
        <v>49849.8</v>
      </c>
    </row>
    <row r="106" spans="2:16" ht="34.9" hidden="1" customHeight="1">
      <c r="B106" s="15">
        <v>40878</v>
      </c>
      <c r="C106" s="10">
        <f>30382.5+1296+528.3</f>
        <v>32206.799999999999</v>
      </c>
      <c r="D106" s="10">
        <v>5799.2</v>
      </c>
      <c r="E106" s="10">
        <v>23741</v>
      </c>
      <c r="F106" s="10">
        <f>36414.5+1077</f>
        <v>37491.5</v>
      </c>
      <c r="G106" s="11">
        <f t="shared" si="10"/>
        <v>99238.5</v>
      </c>
      <c r="H106" s="10">
        <v>1022</v>
      </c>
      <c r="I106" s="10">
        <v>1456.9</v>
      </c>
      <c r="J106" s="10">
        <v>7749.3</v>
      </c>
      <c r="K106" s="10">
        <v>6736</v>
      </c>
      <c r="L106" s="10">
        <v>792.5</v>
      </c>
      <c r="M106" s="10">
        <v>667.6</v>
      </c>
      <c r="N106" s="10">
        <v>20943.099999999999</v>
      </c>
      <c r="O106" s="10">
        <v>10026.299999999999</v>
      </c>
      <c r="P106" s="11">
        <f t="shared" si="11"/>
        <v>49393.7</v>
      </c>
    </row>
    <row r="107" spans="2:16" ht="34.9" hidden="1" customHeight="1">
      <c r="B107" s="3">
        <v>2012</v>
      </c>
      <c r="C107" s="12"/>
      <c r="D107" s="12"/>
      <c r="E107" s="12"/>
      <c r="F107" s="12"/>
      <c r="G107" s="13"/>
      <c r="H107" s="12"/>
      <c r="I107" s="12"/>
      <c r="J107" s="12"/>
      <c r="K107" s="12"/>
      <c r="L107" s="12"/>
      <c r="M107" s="12"/>
      <c r="N107" s="12"/>
      <c r="O107" s="12"/>
      <c r="P107" s="13"/>
    </row>
    <row r="108" spans="2:16" ht="34.9" hidden="1" customHeight="1">
      <c r="B108" s="14">
        <v>40909</v>
      </c>
      <c r="C108" s="6">
        <f>20481.1+3170+3170+4225.2</f>
        <v>31046.3</v>
      </c>
      <c r="D108" s="6">
        <v>3509.1</v>
      </c>
      <c r="E108" s="6">
        <v>32104.1</v>
      </c>
      <c r="F108" s="6">
        <f>38036.7+594+1188.7+1054.9</f>
        <v>40874.299999999996</v>
      </c>
      <c r="G108" s="7">
        <f t="shared" ref="G108:G119" si="12">SUM(C108:F108)</f>
        <v>107533.79999999999</v>
      </c>
      <c r="H108" s="6">
        <v>212.3</v>
      </c>
      <c r="I108" s="6">
        <v>175</v>
      </c>
      <c r="J108" s="6">
        <v>2757.8</v>
      </c>
      <c r="K108" s="6">
        <v>11434.3</v>
      </c>
      <c r="L108" s="6">
        <v>2101.9</v>
      </c>
      <c r="M108" s="6">
        <v>113.7</v>
      </c>
      <c r="N108" s="6">
        <v>4125.3</v>
      </c>
      <c r="O108" s="6">
        <v>8624.6</v>
      </c>
      <c r="P108" s="7">
        <f t="shared" ref="P108:P119" si="13">SUM(H108:O108)</f>
        <v>29544.9</v>
      </c>
    </row>
    <row r="109" spans="2:16" ht="34.9" hidden="1" customHeight="1">
      <c r="B109" s="15">
        <v>40940</v>
      </c>
      <c r="C109" s="10">
        <f>46926.6+543.2</f>
        <v>47469.799999999996</v>
      </c>
      <c r="D109" s="10">
        <v>2495.4</v>
      </c>
      <c r="E109" s="10">
        <v>37151.4</v>
      </c>
      <c r="F109" s="10">
        <v>35455.199999999997</v>
      </c>
      <c r="G109" s="11">
        <f t="shared" si="12"/>
        <v>122571.8</v>
      </c>
      <c r="H109" s="10">
        <v>384.5</v>
      </c>
      <c r="I109" s="10">
        <v>252</v>
      </c>
      <c r="J109" s="10">
        <v>4676.8999999999996</v>
      </c>
      <c r="K109" s="10">
        <v>7637.6</v>
      </c>
      <c r="L109" s="10">
        <v>1237</v>
      </c>
      <c r="M109" s="10">
        <v>207</v>
      </c>
      <c r="N109" s="10">
        <v>4949.8999999999996</v>
      </c>
      <c r="O109" s="10">
        <v>7193.3</v>
      </c>
      <c r="P109" s="11">
        <f t="shared" si="13"/>
        <v>26538.2</v>
      </c>
    </row>
    <row r="110" spans="2:16" ht="34.9" hidden="1" customHeight="1">
      <c r="B110" s="14">
        <v>40969</v>
      </c>
      <c r="C110" s="6">
        <v>32806.9</v>
      </c>
      <c r="D110" s="6">
        <v>2309.8000000000002</v>
      </c>
      <c r="E110" s="6">
        <v>54052.3</v>
      </c>
      <c r="F110" s="6">
        <f>47465.1+552</f>
        <v>48017.1</v>
      </c>
      <c r="G110" s="7">
        <f t="shared" si="12"/>
        <v>137186.1</v>
      </c>
      <c r="H110" s="6">
        <v>547.20000000000005</v>
      </c>
      <c r="I110" s="6">
        <v>271.60000000000002</v>
      </c>
      <c r="J110" s="6">
        <v>9055.1</v>
      </c>
      <c r="K110" s="6">
        <v>13433.2</v>
      </c>
      <c r="L110" s="6">
        <v>1535.7</v>
      </c>
      <c r="M110" s="6">
        <v>337.7</v>
      </c>
      <c r="N110" s="6">
        <v>9261.2000000000007</v>
      </c>
      <c r="O110" s="6">
        <v>6101.9</v>
      </c>
      <c r="P110" s="7">
        <f t="shared" si="13"/>
        <v>40543.599999999999</v>
      </c>
    </row>
    <row r="111" spans="2:16" ht="34.9" hidden="1" customHeight="1">
      <c r="B111" s="15">
        <v>41000</v>
      </c>
      <c r="C111" s="10">
        <f>53007.6+3034.9</f>
        <v>56042.5</v>
      </c>
      <c r="D111" s="10">
        <v>1263.2</v>
      </c>
      <c r="E111" s="10">
        <v>38170</v>
      </c>
      <c r="F111" s="10">
        <v>45085.2</v>
      </c>
      <c r="G111" s="11">
        <f t="shared" si="12"/>
        <v>140560.9</v>
      </c>
      <c r="H111" s="10">
        <v>1436.8</v>
      </c>
      <c r="I111" s="10">
        <v>483.3</v>
      </c>
      <c r="J111" s="10">
        <v>7508.3</v>
      </c>
      <c r="K111" s="10">
        <v>18162.599999999999</v>
      </c>
      <c r="L111" s="10">
        <v>1547.8</v>
      </c>
      <c r="M111" s="10">
        <v>3041.8</v>
      </c>
      <c r="N111" s="10">
        <v>11710.4</v>
      </c>
      <c r="O111" s="10">
        <v>6886.1</v>
      </c>
      <c r="P111" s="11">
        <f t="shared" si="13"/>
        <v>50777.1</v>
      </c>
    </row>
    <row r="112" spans="2:16" ht="34.9" hidden="1" customHeight="1">
      <c r="B112" s="14">
        <v>41030</v>
      </c>
      <c r="C112" s="6">
        <v>21799.1</v>
      </c>
      <c r="D112" s="6">
        <f>2050.5+3643.5</f>
        <v>5694</v>
      </c>
      <c r="E112" s="6">
        <v>23113.9</v>
      </c>
      <c r="F112" s="6">
        <v>35248.5</v>
      </c>
      <c r="G112" s="7">
        <f t="shared" si="12"/>
        <v>85855.5</v>
      </c>
      <c r="H112" s="6">
        <v>373.7</v>
      </c>
      <c r="I112" s="6">
        <v>161.1</v>
      </c>
      <c r="J112" s="6">
        <v>9730.7000000000007</v>
      </c>
      <c r="K112" s="6">
        <v>7274.8</v>
      </c>
      <c r="L112" s="6">
        <v>1530.3</v>
      </c>
      <c r="M112" s="6">
        <v>114.3</v>
      </c>
      <c r="N112" s="6">
        <v>5747.6</v>
      </c>
      <c r="O112" s="6">
        <v>5776.7</v>
      </c>
      <c r="P112" s="7">
        <f t="shared" si="13"/>
        <v>30709.200000000001</v>
      </c>
    </row>
    <row r="113" spans="2:16" ht="34.9" hidden="1" customHeight="1">
      <c r="B113" s="15">
        <v>41061</v>
      </c>
      <c r="C113" s="10">
        <v>20621.2</v>
      </c>
      <c r="D113" s="10">
        <v>568</v>
      </c>
      <c r="E113" s="10">
        <v>15866.3</v>
      </c>
      <c r="F113" s="10">
        <v>50347</v>
      </c>
      <c r="G113" s="11">
        <f t="shared" si="12"/>
        <v>87402.5</v>
      </c>
      <c r="H113" s="10">
        <v>223.7</v>
      </c>
      <c r="I113" s="10">
        <v>623.6</v>
      </c>
      <c r="J113" s="10">
        <v>3925.4</v>
      </c>
      <c r="K113" s="10">
        <v>9981.2000000000007</v>
      </c>
      <c r="L113" s="10">
        <v>1125</v>
      </c>
      <c r="M113" s="10">
        <v>187.9</v>
      </c>
      <c r="N113" s="10">
        <v>4801.6000000000004</v>
      </c>
      <c r="O113" s="10">
        <v>3773.1</v>
      </c>
      <c r="P113" s="11">
        <f t="shared" si="13"/>
        <v>24641.5</v>
      </c>
    </row>
    <row r="114" spans="2:16" ht="34.9" hidden="1" customHeight="1">
      <c r="B114" s="14">
        <v>41091</v>
      </c>
      <c r="C114" s="6">
        <v>12089.6</v>
      </c>
      <c r="D114" s="6">
        <v>571.70000000000005</v>
      </c>
      <c r="E114" s="6">
        <v>21426</v>
      </c>
      <c r="F114" s="6">
        <v>45479.6</v>
      </c>
      <c r="G114" s="7">
        <f t="shared" si="12"/>
        <v>79566.899999999994</v>
      </c>
      <c r="H114" s="6">
        <v>190.4</v>
      </c>
      <c r="I114" s="6">
        <v>337.7</v>
      </c>
      <c r="J114" s="6">
        <v>5697.7</v>
      </c>
      <c r="K114" s="6">
        <v>13423.6</v>
      </c>
      <c r="L114" s="6">
        <v>666.7</v>
      </c>
      <c r="M114" s="6">
        <v>158</v>
      </c>
      <c r="N114" s="6">
        <v>3232</v>
      </c>
      <c r="O114" s="6">
        <v>4451</v>
      </c>
      <c r="P114" s="7">
        <f t="shared" si="13"/>
        <v>28157.100000000002</v>
      </c>
    </row>
    <row r="115" spans="2:16" ht="34.9" hidden="1" customHeight="1">
      <c r="B115" s="15">
        <v>41122</v>
      </c>
      <c r="C115" s="10">
        <f>25218.3+2108.2+500</f>
        <v>27826.5</v>
      </c>
      <c r="D115" s="10">
        <v>559.79999999999995</v>
      </c>
      <c r="E115" s="10">
        <f>11768.7</f>
        <v>11768.7</v>
      </c>
      <c r="F115" s="10">
        <f>27599.3+795</f>
        <v>28394.3</v>
      </c>
      <c r="G115" s="11">
        <f t="shared" si="12"/>
        <v>68549.3</v>
      </c>
      <c r="H115" s="10">
        <v>153.9</v>
      </c>
      <c r="I115" s="10">
        <v>552</v>
      </c>
      <c r="J115" s="10">
        <v>2478.5</v>
      </c>
      <c r="K115" s="10">
        <v>11371.5</v>
      </c>
      <c r="L115" s="10">
        <v>969.3</v>
      </c>
      <c r="M115" s="10">
        <v>192.4</v>
      </c>
      <c r="N115" s="10">
        <v>4642.6000000000004</v>
      </c>
      <c r="O115" s="10">
        <v>3720.5</v>
      </c>
      <c r="P115" s="11">
        <f t="shared" si="13"/>
        <v>24080.699999999997</v>
      </c>
    </row>
    <row r="116" spans="2:16" ht="34.9" hidden="1" customHeight="1">
      <c r="B116" s="14">
        <v>41153</v>
      </c>
      <c r="C116" s="6">
        <v>16763.400000000001</v>
      </c>
      <c r="D116" s="6">
        <v>5164.8999999999996</v>
      </c>
      <c r="E116" s="6">
        <f>17650.8</f>
        <v>17650.8</v>
      </c>
      <c r="F116" s="6">
        <v>34545.800000000003</v>
      </c>
      <c r="G116" s="7">
        <f t="shared" si="12"/>
        <v>74124.900000000009</v>
      </c>
      <c r="H116" s="6">
        <v>166.1</v>
      </c>
      <c r="I116" s="6">
        <v>541.20000000000005</v>
      </c>
      <c r="J116" s="6">
        <v>5193.8999999999996</v>
      </c>
      <c r="K116" s="6">
        <v>18046.900000000001</v>
      </c>
      <c r="L116" s="6">
        <v>287.10000000000002</v>
      </c>
      <c r="M116" s="6">
        <v>145.30000000000001</v>
      </c>
      <c r="N116" s="6">
        <v>7874.6</v>
      </c>
      <c r="O116" s="6">
        <v>9147.9</v>
      </c>
      <c r="P116" s="7">
        <f t="shared" si="13"/>
        <v>41403</v>
      </c>
    </row>
    <row r="117" spans="2:16" ht="34.9" hidden="1" customHeight="1">
      <c r="B117" s="15">
        <v>41183</v>
      </c>
      <c r="C117" s="10">
        <v>25477.7</v>
      </c>
      <c r="D117" s="10">
        <v>1151.9000000000001</v>
      </c>
      <c r="E117" s="10">
        <v>19470.7</v>
      </c>
      <c r="F117" s="10">
        <v>51304.4</v>
      </c>
      <c r="G117" s="11">
        <f t="shared" si="12"/>
        <v>97404.700000000012</v>
      </c>
      <c r="H117" s="10">
        <v>68.2</v>
      </c>
      <c r="I117" s="10">
        <v>382.3</v>
      </c>
      <c r="J117" s="10">
        <v>7745.3</v>
      </c>
      <c r="K117" s="10">
        <v>21371.200000000001</v>
      </c>
      <c r="L117" s="10">
        <v>558.6</v>
      </c>
      <c r="M117" s="10">
        <v>114.2</v>
      </c>
      <c r="N117" s="10">
        <v>5042.6000000000004</v>
      </c>
      <c r="O117" s="10">
        <v>2782.8</v>
      </c>
      <c r="P117" s="11">
        <f t="shared" si="13"/>
        <v>38065.200000000004</v>
      </c>
    </row>
    <row r="118" spans="2:16" ht="34.9" hidden="1" customHeight="1">
      <c r="B118" s="14">
        <v>41214</v>
      </c>
      <c r="C118" s="6">
        <f>18554.1</f>
        <v>18554.099999999999</v>
      </c>
      <c r="D118" s="6">
        <v>327.9</v>
      </c>
      <c r="E118" s="6">
        <v>23466.6</v>
      </c>
      <c r="F118" s="6">
        <v>40346.199999999997</v>
      </c>
      <c r="G118" s="7">
        <f t="shared" si="12"/>
        <v>82694.799999999988</v>
      </c>
      <c r="H118" s="6">
        <v>3339.1</v>
      </c>
      <c r="I118" s="6">
        <v>720.6</v>
      </c>
      <c r="J118" s="6">
        <v>3132.5</v>
      </c>
      <c r="K118" s="6">
        <v>18546</v>
      </c>
      <c r="L118" s="6">
        <v>1068.2</v>
      </c>
      <c r="M118" s="6">
        <v>114.3</v>
      </c>
      <c r="N118" s="6">
        <v>4991.5</v>
      </c>
      <c r="O118" s="6">
        <v>2563.1999999999998</v>
      </c>
      <c r="P118" s="7">
        <f t="shared" si="13"/>
        <v>34475.4</v>
      </c>
    </row>
    <row r="119" spans="2:16" ht="34.9" hidden="1" customHeight="1">
      <c r="B119" s="15">
        <v>41244</v>
      </c>
      <c r="C119" s="10">
        <f>17056.5+1305+7250</f>
        <v>25611.5</v>
      </c>
      <c r="D119" s="10">
        <v>464</v>
      </c>
      <c r="E119" s="10">
        <f>33929+1760.5</f>
        <v>35689.5</v>
      </c>
      <c r="F119" s="10">
        <f>43749.4+513.5</f>
        <v>44262.9</v>
      </c>
      <c r="G119" s="11">
        <f t="shared" si="12"/>
        <v>106027.9</v>
      </c>
      <c r="H119" s="10">
        <v>141.4</v>
      </c>
      <c r="I119" s="10">
        <v>196.8</v>
      </c>
      <c r="J119" s="10">
        <f>10474.8+705</f>
        <v>11179.8</v>
      </c>
      <c r="K119" s="10">
        <v>15607</v>
      </c>
      <c r="L119" s="10">
        <v>916</v>
      </c>
      <c r="M119" s="10">
        <v>152.30000000000001</v>
      </c>
      <c r="N119" s="10">
        <v>4264.7</v>
      </c>
      <c r="O119" s="10">
        <v>2499.9</v>
      </c>
      <c r="P119" s="11">
        <f t="shared" si="13"/>
        <v>34957.9</v>
      </c>
    </row>
    <row r="120" spans="2:16" ht="34.9" hidden="1" customHeight="1">
      <c r="B120" s="3">
        <v>2013</v>
      </c>
      <c r="C120" s="12"/>
      <c r="D120" s="12"/>
      <c r="E120" s="12"/>
      <c r="F120" s="12"/>
      <c r="G120" s="13"/>
      <c r="H120" s="12"/>
      <c r="I120" s="12"/>
      <c r="J120" s="12"/>
      <c r="K120" s="12"/>
      <c r="L120" s="12"/>
      <c r="M120" s="12"/>
      <c r="N120" s="12"/>
      <c r="O120" s="12"/>
      <c r="P120" s="13"/>
    </row>
    <row r="121" spans="2:16" ht="34.9" hidden="1" customHeight="1">
      <c r="B121" s="14">
        <v>41275</v>
      </c>
      <c r="C121" s="6">
        <f>47879.1+1067.4+1500</f>
        <v>50446.5</v>
      </c>
      <c r="D121" s="6">
        <v>912.8</v>
      </c>
      <c r="E121" s="6">
        <v>23837.8</v>
      </c>
      <c r="F121" s="6">
        <f>55197.6+736+615</f>
        <v>56548.6</v>
      </c>
      <c r="G121" s="7">
        <f t="shared" ref="G121:G127" si="14">SUM(C121:F121)</f>
        <v>131745.70000000001</v>
      </c>
      <c r="H121" s="6">
        <v>179</v>
      </c>
      <c r="I121" s="6">
        <v>478.2</v>
      </c>
      <c r="J121" s="6">
        <v>5427.8</v>
      </c>
      <c r="K121" s="6">
        <v>21821</v>
      </c>
      <c r="L121" s="6">
        <v>1459.6</v>
      </c>
      <c r="M121" s="6">
        <v>193.1</v>
      </c>
      <c r="N121" s="6">
        <v>3672.2</v>
      </c>
      <c r="O121" s="6">
        <v>4202.6000000000004</v>
      </c>
      <c r="P121" s="7">
        <f t="shared" ref="P121:P132" si="15">SUM(H121:O121)</f>
        <v>37433.499999999993</v>
      </c>
    </row>
    <row r="122" spans="2:16" ht="34.9" hidden="1" customHeight="1">
      <c r="B122" s="15">
        <v>41306</v>
      </c>
      <c r="C122" s="10">
        <f>13347.3+1860+1137.1+555.3+538.2</f>
        <v>17437.900000000001</v>
      </c>
      <c r="D122" s="10">
        <v>1145.0999999999999</v>
      </c>
      <c r="E122" s="10">
        <v>40734.6</v>
      </c>
      <c r="F122" s="10">
        <f>70022+969.9+986.1</f>
        <v>71978</v>
      </c>
      <c r="G122" s="11">
        <f t="shared" si="14"/>
        <v>131295.6</v>
      </c>
      <c r="H122" s="10">
        <v>429.3</v>
      </c>
      <c r="I122" s="10">
        <v>294</v>
      </c>
      <c r="J122" s="10">
        <v>4858.3</v>
      </c>
      <c r="K122" s="10">
        <v>20110.8</v>
      </c>
      <c r="L122" s="10">
        <v>1022.4</v>
      </c>
      <c r="M122" s="10">
        <v>178.7</v>
      </c>
      <c r="N122" s="10">
        <v>2973.9</v>
      </c>
      <c r="O122" s="10">
        <v>10381</v>
      </c>
      <c r="P122" s="11">
        <f t="shared" si="15"/>
        <v>40248.400000000009</v>
      </c>
    </row>
    <row r="123" spans="2:16" ht="34.9" hidden="1" customHeight="1">
      <c r="B123" s="14">
        <v>41334</v>
      </c>
      <c r="C123" s="6">
        <f>13933.9+18710.3+1653.3+9354+9352.2</f>
        <v>53003.7</v>
      </c>
      <c r="D123" s="6">
        <v>455.6</v>
      </c>
      <c r="E123" s="6">
        <v>102552.7</v>
      </c>
      <c r="F123" s="6">
        <f>143830.1+510+510+1955</f>
        <v>146805.1</v>
      </c>
      <c r="G123" s="7">
        <f t="shared" si="14"/>
        <v>302817.09999999998</v>
      </c>
      <c r="H123" s="6">
        <v>198</v>
      </c>
      <c r="I123" s="6">
        <v>566.20000000000005</v>
      </c>
      <c r="J123" s="6">
        <v>10351.299999999999</v>
      </c>
      <c r="K123" s="6">
        <f>27345.8+743</f>
        <v>28088.799999999999</v>
      </c>
      <c r="L123" s="6">
        <v>644.5</v>
      </c>
      <c r="M123" s="6">
        <v>157.5</v>
      </c>
      <c r="N123" s="6">
        <v>3940</v>
      </c>
      <c r="O123" s="6">
        <v>13499</v>
      </c>
      <c r="P123" s="7">
        <f t="shared" si="15"/>
        <v>57445.3</v>
      </c>
    </row>
    <row r="124" spans="2:16" ht="34.9" hidden="1" customHeight="1">
      <c r="B124" s="15">
        <v>41365</v>
      </c>
      <c r="C124" s="10">
        <f>16104.8+118264.9+376276.6</f>
        <v>510646.29999999993</v>
      </c>
      <c r="D124" s="10">
        <v>1730.5</v>
      </c>
      <c r="E124" s="10">
        <f>78340.3+752.5</f>
        <v>79092.800000000003</v>
      </c>
      <c r="F124" s="10">
        <f>158368.5+1375+550</f>
        <v>160293.5</v>
      </c>
      <c r="G124" s="11">
        <f t="shared" si="14"/>
        <v>751763.1</v>
      </c>
      <c r="H124" s="10">
        <v>390.5</v>
      </c>
      <c r="I124" s="10">
        <v>2294.1</v>
      </c>
      <c r="J124" s="10">
        <v>11798</v>
      </c>
      <c r="K124" s="10">
        <v>28094.2</v>
      </c>
      <c r="L124" s="10">
        <v>1711.6</v>
      </c>
      <c r="M124" s="10">
        <v>122.1</v>
      </c>
      <c r="N124" s="10">
        <v>6662.1</v>
      </c>
      <c r="O124" s="10">
        <v>4809.3999999999996</v>
      </c>
      <c r="P124" s="11">
        <f t="shared" si="15"/>
        <v>55882</v>
      </c>
    </row>
    <row r="125" spans="2:16" ht="34.9" hidden="1" customHeight="1">
      <c r="B125" s="14">
        <v>41395</v>
      </c>
      <c r="C125" s="6">
        <v>17476.099999999999</v>
      </c>
      <c r="D125" s="6">
        <v>334.5</v>
      </c>
      <c r="E125" s="6">
        <v>29197.5</v>
      </c>
      <c r="F125" s="6">
        <v>65890.399999999994</v>
      </c>
      <c r="G125" s="7">
        <f t="shared" si="14"/>
        <v>112898.5</v>
      </c>
      <c r="H125" s="6">
        <v>427.3</v>
      </c>
      <c r="I125" s="6">
        <v>6470.8</v>
      </c>
      <c r="J125" s="6">
        <v>8671.4</v>
      </c>
      <c r="K125" s="6">
        <v>21508.7</v>
      </c>
      <c r="L125" s="6">
        <v>720.6</v>
      </c>
      <c r="M125" s="6">
        <v>141.4</v>
      </c>
      <c r="N125" s="6">
        <v>3655.9</v>
      </c>
      <c r="O125" s="6">
        <v>3027.4</v>
      </c>
      <c r="P125" s="7">
        <f t="shared" si="15"/>
        <v>44623.5</v>
      </c>
    </row>
    <row r="126" spans="2:16" ht="34.9" hidden="1" customHeight="1">
      <c r="B126" s="15">
        <v>41426</v>
      </c>
      <c r="C126" s="10">
        <v>52929</v>
      </c>
      <c r="D126" s="10">
        <v>2079.1999999999998</v>
      </c>
      <c r="E126" s="10">
        <v>22947.8</v>
      </c>
      <c r="F126" s="10">
        <v>81285.899999999994</v>
      </c>
      <c r="G126" s="11">
        <f t="shared" si="14"/>
        <v>159241.9</v>
      </c>
      <c r="H126" s="10">
        <v>133.80000000000001</v>
      </c>
      <c r="I126" s="10">
        <v>977.3</v>
      </c>
      <c r="J126" s="10">
        <v>5076.7</v>
      </c>
      <c r="K126" s="10">
        <v>21356.7</v>
      </c>
      <c r="L126" s="10">
        <v>1309.5999999999999</v>
      </c>
      <c r="M126" s="10">
        <v>1783.5</v>
      </c>
      <c r="N126" s="10">
        <v>6971.9</v>
      </c>
      <c r="O126" s="10">
        <v>6534.6</v>
      </c>
      <c r="P126" s="11">
        <f t="shared" si="15"/>
        <v>44144.1</v>
      </c>
    </row>
    <row r="127" spans="2:16" ht="34.9" hidden="1" customHeight="1">
      <c r="B127" s="14">
        <v>41456</v>
      </c>
      <c r="C127" s="6">
        <v>19100.599999999999</v>
      </c>
      <c r="D127" s="6">
        <v>599.79999999999995</v>
      </c>
      <c r="E127" s="6">
        <f>16197.2+2289</f>
        <v>18486.2</v>
      </c>
      <c r="F127" s="6">
        <v>55943.3</v>
      </c>
      <c r="G127" s="7">
        <f t="shared" si="14"/>
        <v>94129.9</v>
      </c>
      <c r="H127" s="6">
        <v>69.5</v>
      </c>
      <c r="I127" s="6">
        <v>459.5</v>
      </c>
      <c r="J127" s="6">
        <v>2241.5</v>
      </c>
      <c r="K127" s="6">
        <v>7681.9</v>
      </c>
      <c r="L127" s="6">
        <v>3123.2</v>
      </c>
      <c r="M127" s="6">
        <v>65.7</v>
      </c>
      <c r="N127" s="6">
        <v>6426.6</v>
      </c>
      <c r="O127" s="6">
        <v>3486.1</v>
      </c>
      <c r="P127" s="7">
        <f t="shared" si="15"/>
        <v>23554</v>
      </c>
    </row>
    <row r="128" spans="2:16" ht="34.9" hidden="1" customHeight="1">
      <c r="B128" s="15">
        <v>41487</v>
      </c>
      <c r="C128" s="10">
        <v>17191.2</v>
      </c>
      <c r="D128" s="10">
        <v>214</v>
      </c>
      <c r="E128" s="10">
        <v>18918.900000000001</v>
      </c>
      <c r="F128" s="10">
        <v>43566.6</v>
      </c>
      <c r="G128" s="11">
        <v>79890.660999999993</v>
      </c>
      <c r="H128" s="10">
        <v>162.80000000000001</v>
      </c>
      <c r="I128" s="10">
        <v>736.9</v>
      </c>
      <c r="J128" s="10">
        <v>2267.3000000000002</v>
      </c>
      <c r="K128" s="10">
        <f>5519.1+803.3</f>
        <v>6322.4000000000005</v>
      </c>
      <c r="L128" s="10">
        <v>1899.1</v>
      </c>
      <c r="M128" s="10">
        <v>238</v>
      </c>
      <c r="N128" s="10">
        <v>1955.3</v>
      </c>
      <c r="O128" s="10">
        <v>3925.9</v>
      </c>
      <c r="P128" s="11">
        <f t="shared" si="15"/>
        <v>17507.7</v>
      </c>
    </row>
    <row r="129" spans="2:16" ht="34.9" hidden="1" customHeight="1">
      <c r="B129" s="14">
        <v>41518</v>
      </c>
      <c r="C129" s="6">
        <v>17247.3</v>
      </c>
      <c r="D129" s="6">
        <v>582.9</v>
      </c>
      <c r="E129" s="6">
        <v>20812.3</v>
      </c>
      <c r="F129" s="6">
        <v>58397.3</v>
      </c>
      <c r="G129" s="7">
        <f>SUM(C129:F129)</f>
        <v>97039.8</v>
      </c>
      <c r="H129" s="6">
        <v>445.2</v>
      </c>
      <c r="I129" s="6">
        <v>884.9</v>
      </c>
      <c r="J129" s="6">
        <v>4812.5</v>
      </c>
      <c r="K129" s="6">
        <v>8587.1</v>
      </c>
      <c r="L129" s="6">
        <v>904.9</v>
      </c>
      <c r="M129" s="6">
        <v>250.8</v>
      </c>
      <c r="N129" s="6">
        <v>2415.8000000000002</v>
      </c>
      <c r="O129" s="6">
        <v>6513.8</v>
      </c>
      <c r="P129" s="7">
        <f t="shared" si="15"/>
        <v>24815</v>
      </c>
    </row>
    <row r="130" spans="2:16" ht="34.9" hidden="1" customHeight="1">
      <c r="B130" s="15">
        <v>41548</v>
      </c>
      <c r="C130" s="10">
        <f>22012.4+553.4</f>
        <v>22565.800000000003</v>
      </c>
      <c r="D130" s="10">
        <v>2650.1</v>
      </c>
      <c r="E130" s="10">
        <v>19481.599999999999</v>
      </c>
      <c r="F130" s="10">
        <v>53242.8</v>
      </c>
      <c r="G130" s="11">
        <f>SUM(C130:F130)</f>
        <v>97940.3</v>
      </c>
      <c r="H130" s="10">
        <v>62.8</v>
      </c>
      <c r="I130" s="10">
        <v>333.7</v>
      </c>
      <c r="J130" s="10">
        <v>4453.3999999999996</v>
      </c>
      <c r="K130" s="10">
        <f>4953.3+812</f>
        <v>5765.3</v>
      </c>
      <c r="L130" s="10">
        <v>787.8</v>
      </c>
      <c r="M130" s="10">
        <v>106.4</v>
      </c>
      <c r="N130" s="10">
        <v>3048.3</v>
      </c>
      <c r="O130" s="10">
        <v>2975.9</v>
      </c>
      <c r="P130" s="11">
        <f t="shared" si="15"/>
        <v>17533.600000000002</v>
      </c>
    </row>
    <row r="131" spans="2:16" ht="34.9" hidden="1" customHeight="1">
      <c r="B131" s="14">
        <v>41579</v>
      </c>
      <c r="C131" s="6">
        <v>25741.1</v>
      </c>
      <c r="D131" s="6">
        <v>1059</v>
      </c>
      <c r="E131" s="6">
        <v>32659.599999999999</v>
      </c>
      <c r="F131" s="6">
        <v>54806.9</v>
      </c>
      <c r="G131" s="7">
        <f>SUM(C131:F131)</f>
        <v>114266.6</v>
      </c>
      <c r="H131" s="6">
        <v>458.5</v>
      </c>
      <c r="I131" s="6">
        <v>413.7</v>
      </c>
      <c r="J131" s="6">
        <v>6087.7</v>
      </c>
      <c r="K131" s="6">
        <f>6680.5+832.8</f>
        <v>7513.3</v>
      </c>
      <c r="L131" s="6">
        <v>440.5</v>
      </c>
      <c r="M131" s="6">
        <v>248.4</v>
      </c>
      <c r="N131" s="6">
        <v>2242.1</v>
      </c>
      <c r="O131" s="6">
        <v>4980.7</v>
      </c>
      <c r="P131" s="7">
        <f t="shared" si="15"/>
        <v>22384.9</v>
      </c>
    </row>
    <row r="132" spans="2:16" ht="34.9" hidden="1" customHeight="1">
      <c r="B132" s="15">
        <v>41609</v>
      </c>
      <c r="C132" s="10">
        <f>26961.4+35212.982</f>
        <v>62174.382000000005</v>
      </c>
      <c r="D132" s="10">
        <v>1942.3</v>
      </c>
      <c r="E132" s="10">
        <v>29554.6</v>
      </c>
      <c r="F132" s="10">
        <v>54738.7</v>
      </c>
      <c r="G132" s="11">
        <f>SUM(C132:F132)</f>
        <v>148409.98200000002</v>
      </c>
      <c r="H132" s="10">
        <v>78.599999999999994</v>
      </c>
      <c r="I132" s="10">
        <v>970.8</v>
      </c>
      <c r="J132" s="10">
        <v>5241</v>
      </c>
      <c r="K132" s="10">
        <v>5730.2</v>
      </c>
      <c r="L132" s="10">
        <v>3446.4</v>
      </c>
      <c r="M132" s="10">
        <v>75.7</v>
      </c>
      <c r="N132" s="10">
        <v>1941.5</v>
      </c>
      <c r="O132" s="10">
        <v>5064.1000000000004</v>
      </c>
      <c r="P132" s="11">
        <f t="shared" si="15"/>
        <v>22548.299999999996</v>
      </c>
    </row>
    <row r="133" spans="2:16" ht="34.9" hidden="1" customHeight="1">
      <c r="B133" s="3">
        <v>2014</v>
      </c>
      <c r="C133" s="12"/>
      <c r="D133" s="12"/>
      <c r="E133" s="12"/>
      <c r="F133" s="12"/>
      <c r="G133" s="13"/>
      <c r="H133" s="12"/>
      <c r="I133" s="12"/>
      <c r="J133" s="12"/>
      <c r="K133" s="12"/>
      <c r="L133" s="12"/>
      <c r="M133" s="12"/>
      <c r="N133" s="12"/>
      <c r="O133" s="12"/>
      <c r="P133" s="13"/>
    </row>
    <row r="134" spans="2:16" ht="34.9" hidden="1" customHeight="1">
      <c r="B134" s="14">
        <v>41640</v>
      </c>
      <c r="C134" s="6">
        <v>80409.3</v>
      </c>
      <c r="D134" s="6">
        <v>1147.2</v>
      </c>
      <c r="E134" s="6">
        <v>50246.7</v>
      </c>
      <c r="F134" s="6">
        <v>91299.3</v>
      </c>
      <c r="G134" s="7">
        <f t="shared" ref="G134:G145" si="16">SUM(C134:F134)</f>
        <v>223102.5</v>
      </c>
      <c r="H134" s="6">
        <v>171.6</v>
      </c>
      <c r="I134" s="6">
        <v>530.1</v>
      </c>
      <c r="J134" s="6">
        <v>8696</v>
      </c>
      <c r="K134" s="6">
        <v>14080.7</v>
      </c>
      <c r="L134" s="6">
        <v>710.7</v>
      </c>
      <c r="M134" s="6">
        <v>103.6</v>
      </c>
      <c r="N134" s="6">
        <v>3046.5</v>
      </c>
      <c r="O134" s="6">
        <f>7508.7+738.5</f>
        <v>8247.2000000000007</v>
      </c>
      <c r="P134" s="7">
        <f t="shared" ref="P134:P145" si="17">SUM(H134:O134)</f>
        <v>35586.400000000001</v>
      </c>
    </row>
    <row r="135" spans="2:16" ht="34.9" hidden="1" customHeight="1">
      <c r="B135" s="15">
        <v>41671</v>
      </c>
      <c r="C135" s="10">
        <f>68793.672+8500</f>
        <v>77293.672000000006</v>
      </c>
      <c r="D135" s="10">
        <f>5824.3+814</f>
        <v>6638.3</v>
      </c>
      <c r="E135" s="10">
        <v>33339.199999999997</v>
      </c>
      <c r="F135" s="10">
        <v>57494.1</v>
      </c>
      <c r="G135" s="11">
        <f t="shared" si="16"/>
        <v>174765.272</v>
      </c>
      <c r="H135" s="10">
        <v>418.6</v>
      </c>
      <c r="I135" s="10">
        <v>419.2</v>
      </c>
      <c r="J135" s="10">
        <v>6072</v>
      </c>
      <c r="K135" s="10">
        <v>9482.9</v>
      </c>
      <c r="L135" s="10">
        <v>1511.9</v>
      </c>
      <c r="M135" s="10">
        <v>247.2</v>
      </c>
      <c r="N135" s="10">
        <v>5095.8999999999996</v>
      </c>
      <c r="O135" s="10">
        <v>5133.3999999999996</v>
      </c>
      <c r="P135" s="11">
        <f t="shared" si="17"/>
        <v>28381.100000000006</v>
      </c>
    </row>
    <row r="136" spans="2:16" ht="34.9" hidden="1" customHeight="1">
      <c r="B136" s="14">
        <v>41699</v>
      </c>
      <c r="C136" s="6">
        <f>29238.4+4050</f>
        <v>33288.400000000001</v>
      </c>
      <c r="D136" s="6">
        <v>1017.9</v>
      </c>
      <c r="E136" s="6">
        <v>34008</v>
      </c>
      <c r="F136" s="6">
        <f>85495.8+11025.4+1200</f>
        <v>97721.2</v>
      </c>
      <c r="G136" s="7">
        <f t="shared" si="16"/>
        <v>166035.5</v>
      </c>
      <c r="H136" s="6">
        <v>872.1</v>
      </c>
      <c r="I136" s="6">
        <v>1894.4</v>
      </c>
      <c r="J136" s="6">
        <v>4254.3999999999996</v>
      </c>
      <c r="K136" s="6">
        <v>7211.9</v>
      </c>
      <c r="L136" s="6">
        <v>6209.7</v>
      </c>
      <c r="M136" s="6">
        <v>149.5</v>
      </c>
      <c r="N136" s="6">
        <v>3092.9</v>
      </c>
      <c r="O136" s="6">
        <v>3106</v>
      </c>
      <c r="P136" s="7">
        <f t="shared" si="17"/>
        <v>26790.9</v>
      </c>
    </row>
    <row r="137" spans="2:16" ht="34.9" hidden="1" customHeight="1">
      <c r="B137" s="15">
        <v>41730</v>
      </c>
      <c r="C137" s="10">
        <f>35554.5+145.1</f>
        <v>35699.599999999999</v>
      </c>
      <c r="D137" s="10">
        <f>1167.9+840</f>
        <v>2007.9</v>
      </c>
      <c r="E137" s="10">
        <v>32481.5</v>
      </c>
      <c r="F137" s="10">
        <f>62613.2+3032.1</f>
        <v>65645.3</v>
      </c>
      <c r="G137" s="11">
        <f t="shared" si="16"/>
        <v>135834.29999999999</v>
      </c>
      <c r="H137" s="10">
        <v>161.9</v>
      </c>
      <c r="I137" s="10">
        <v>443.6</v>
      </c>
      <c r="J137" s="10">
        <v>2519.9</v>
      </c>
      <c r="K137" s="10">
        <v>7692.5</v>
      </c>
      <c r="L137" s="10">
        <v>1112.3</v>
      </c>
      <c r="M137" s="10">
        <v>102.4</v>
      </c>
      <c r="N137" s="10">
        <v>1959.4</v>
      </c>
      <c r="O137" s="10">
        <v>10394.700000000001</v>
      </c>
      <c r="P137" s="11">
        <f t="shared" si="17"/>
        <v>24386.699999999997</v>
      </c>
    </row>
    <row r="138" spans="2:16" ht="34.9" hidden="1" customHeight="1">
      <c r="B138" s="14">
        <v>41760</v>
      </c>
      <c r="C138" s="6">
        <v>37699.5</v>
      </c>
      <c r="D138" s="6">
        <v>1115.2</v>
      </c>
      <c r="E138" s="6">
        <v>22706.7</v>
      </c>
      <c r="F138" s="6">
        <f>36292.2+504</f>
        <v>36796.199999999997</v>
      </c>
      <c r="G138" s="7">
        <f t="shared" si="16"/>
        <v>98317.599999999991</v>
      </c>
      <c r="H138" s="6">
        <v>546.79999999999995</v>
      </c>
      <c r="I138" s="6">
        <v>387.1</v>
      </c>
      <c r="J138" s="6">
        <v>1269</v>
      </c>
      <c r="K138" s="6">
        <v>11419.4</v>
      </c>
      <c r="L138" s="6">
        <v>789.9</v>
      </c>
      <c r="M138" s="6">
        <v>74.8</v>
      </c>
      <c r="N138" s="6">
        <v>1976.5</v>
      </c>
      <c r="O138" s="6">
        <v>2367.3000000000002</v>
      </c>
      <c r="P138" s="7">
        <f t="shared" si="17"/>
        <v>18830.8</v>
      </c>
    </row>
    <row r="139" spans="2:16" ht="34.9" hidden="1" customHeight="1">
      <c r="B139" s="15">
        <v>41791</v>
      </c>
      <c r="C139" s="10">
        <v>59302</v>
      </c>
      <c r="D139" s="10">
        <v>960.7</v>
      </c>
      <c r="E139" s="10">
        <v>27850.9</v>
      </c>
      <c r="F139" s="10">
        <v>51379.3</v>
      </c>
      <c r="G139" s="11">
        <f t="shared" si="16"/>
        <v>139492.90000000002</v>
      </c>
      <c r="H139" s="10">
        <v>6019.4</v>
      </c>
      <c r="I139" s="10">
        <v>512.9</v>
      </c>
      <c r="J139" s="10">
        <v>2062.1999999999998</v>
      </c>
      <c r="K139" s="10">
        <v>14445.4</v>
      </c>
      <c r="L139" s="10">
        <v>550.5</v>
      </c>
      <c r="M139" s="10">
        <v>222.1</v>
      </c>
      <c r="N139" s="10">
        <v>9155.9</v>
      </c>
      <c r="O139" s="10">
        <v>6969.9</v>
      </c>
      <c r="P139" s="11">
        <f t="shared" si="17"/>
        <v>39938.300000000003</v>
      </c>
    </row>
    <row r="140" spans="2:16" ht="34.9" hidden="1" customHeight="1">
      <c r="B140" s="14">
        <v>41821</v>
      </c>
      <c r="C140" s="6">
        <v>17548.231</v>
      </c>
      <c r="D140" s="6">
        <v>401.40499999999997</v>
      </c>
      <c r="E140" s="6">
        <v>10197.742</v>
      </c>
      <c r="F140" s="6">
        <v>37234.190999999999</v>
      </c>
      <c r="G140" s="7">
        <f t="shared" si="16"/>
        <v>65381.568999999996</v>
      </c>
      <c r="H140" s="6">
        <v>222.59100000000001</v>
      </c>
      <c r="I140" s="6">
        <v>1659.5239999999999</v>
      </c>
      <c r="J140" s="6">
        <f>540+1060</f>
        <v>1600</v>
      </c>
      <c r="K140" s="6">
        <v>10783.27</v>
      </c>
      <c r="L140" s="6">
        <v>161.155</v>
      </c>
      <c r="M140" s="6">
        <v>41.436999999999998</v>
      </c>
      <c r="N140" s="6">
        <v>3105.77</v>
      </c>
      <c r="O140" s="6">
        <v>1020.633</v>
      </c>
      <c r="P140" s="7">
        <f t="shared" si="17"/>
        <v>18594.38</v>
      </c>
    </row>
    <row r="141" spans="2:16" ht="34.9" hidden="1" customHeight="1">
      <c r="B141" s="15">
        <v>41852</v>
      </c>
      <c r="C141" s="10">
        <v>32461.896000000001</v>
      </c>
      <c r="D141" s="10">
        <v>1053.7529999999999</v>
      </c>
      <c r="E141" s="10">
        <v>11863.472</v>
      </c>
      <c r="F141" s="10">
        <v>33839.828000000001</v>
      </c>
      <c r="G141" s="11">
        <f t="shared" si="16"/>
        <v>79218.948999999993</v>
      </c>
      <c r="H141" s="10">
        <v>416.38799999999998</v>
      </c>
      <c r="I141" s="10">
        <v>570.64300000000003</v>
      </c>
      <c r="J141" s="10">
        <v>1405.722</v>
      </c>
      <c r="K141" s="10">
        <v>7134.7179999999998</v>
      </c>
      <c r="L141" s="10">
        <v>647.29999999999995</v>
      </c>
      <c r="M141" s="10">
        <v>48.284999999999997</v>
      </c>
      <c r="N141" s="10">
        <v>2473.3220000000001</v>
      </c>
      <c r="O141" s="10">
        <v>3661.5830000000001</v>
      </c>
      <c r="P141" s="11">
        <f t="shared" si="17"/>
        <v>16357.960999999999</v>
      </c>
    </row>
    <row r="142" spans="2:16" ht="34.9" hidden="1" customHeight="1">
      <c r="B142" s="14">
        <v>41883</v>
      </c>
      <c r="C142" s="6">
        <f>39804.8+4116.9</f>
        <v>43921.700000000004</v>
      </c>
      <c r="D142" s="6">
        <v>717</v>
      </c>
      <c r="E142" s="6">
        <v>17602.400000000001</v>
      </c>
      <c r="F142" s="6">
        <f>39393.3+1200</f>
        <v>40593.300000000003</v>
      </c>
      <c r="G142" s="7">
        <f t="shared" si="16"/>
        <v>102834.40000000001</v>
      </c>
      <c r="H142" s="6">
        <v>2858.5</v>
      </c>
      <c r="I142" s="6">
        <v>817.8</v>
      </c>
      <c r="J142" s="6">
        <v>3008.1</v>
      </c>
      <c r="K142" s="6">
        <f>15082+576</f>
        <v>15658</v>
      </c>
      <c r="L142" s="6">
        <v>304.60000000000002</v>
      </c>
      <c r="M142" s="6">
        <v>103.2</v>
      </c>
      <c r="N142" s="6">
        <v>3708.8</v>
      </c>
      <c r="O142" s="6">
        <v>3554</v>
      </c>
      <c r="P142" s="7">
        <f t="shared" si="17"/>
        <v>30013</v>
      </c>
    </row>
    <row r="143" spans="2:16" ht="34.9" hidden="1" customHeight="1">
      <c r="B143" s="15">
        <v>41913</v>
      </c>
      <c r="C143" s="10">
        <v>28864.5</v>
      </c>
      <c r="D143" s="10">
        <v>1668.5</v>
      </c>
      <c r="E143" s="10">
        <v>17253.2</v>
      </c>
      <c r="F143" s="10">
        <f>39840.2+660</f>
        <v>40500.199999999997</v>
      </c>
      <c r="G143" s="11">
        <f t="shared" si="16"/>
        <v>88286.399999999994</v>
      </c>
      <c r="H143" s="10">
        <v>307.3</v>
      </c>
      <c r="I143" s="10">
        <v>247</v>
      </c>
      <c r="J143" s="10">
        <v>8999.4</v>
      </c>
      <c r="K143" s="10">
        <v>6044.4</v>
      </c>
      <c r="L143" s="10">
        <v>678.9</v>
      </c>
      <c r="M143" s="10">
        <v>70.900000000000006</v>
      </c>
      <c r="N143" s="10">
        <v>2681</v>
      </c>
      <c r="O143" s="10">
        <v>2228.1</v>
      </c>
      <c r="P143" s="11">
        <f t="shared" si="17"/>
        <v>21256.999999999996</v>
      </c>
    </row>
    <row r="144" spans="2:16" ht="34.9" hidden="1" customHeight="1">
      <c r="B144" s="14">
        <v>41944</v>
      </c>
      <c r="C144" s="6">
        <v>23817.8</v>
      </c>
      <c r="D144" s="6">
        <v>1783.2</v>
      </c>
      <c r="E144" s="6">
        <f>21827.5+1290+1912.4+1912.4+1290</f>
        <v>28232.300000000003</v>
      </c>
      <c r="F144" s="6">
        <v>41762.699999999997</v>
      </c>
      <c r="G144" s="7">
        <f t="shared" si="16"/>
        <v>95596</v>
      </c>
      <c r="H144" s="6">
        <f>132.6+683.1</f>
        <v>815.7</v>
      </c>
      <c r="I144" s="6">
        <v>529</v>
      </c>
      <c r="J144" s="6">
        <v>7566.8</v>
      </c>
      <c r="K144" s="6">
        <v>12641.6</v>
      </c>
      <c r="L144" s="6">
        <v>1585.5</v>
      </c>
      <c r="M144" s="6">
        <v>22.3</v>
      </c>
      <c r="N144" s="6">
        <v>6240.2</v>
      </c>
      <c r="O144" s="6">
        <v>6506.9</v>
      </c>
      <c r="P144" s="7">
        <f t="shared" si="17"/>
        <v>35908</v>
      </c>
    </row>
    <row r="145" spans="2:16" ht="34.9" hidden="1" customHeight="1">
      <c r="B145" s="15">
        <v>41974</v>
      </c>
      <c r="C145" s="10">
        <f>29138.1+617.5+771.4+3722.9</f>
        <v>34249.9</v>
      </c>
      <c r="D145" s="10">
        <v>1414.7</v>
      </c>
      <c r="E145" s="10">
        <v>28516.7</v>
      </c>
      <c r="F145" s="10">
        <f>77247.7+552</f>
        <v>77799.7</v>
      </c>
      <c r="G145" s="11">
        <f t="shared" si="16"/>
        <v>141981</v>
      </c>
      <c r="H145" s="10">
        <v>271.60000000000002</v>
      </c>
      <c r="I145" s="10">
        <v>838</v>
      </c>
      <c r="J145" s="10">
        <v>17767.7</v>
      </c>
      <c r="K145" s="10">
        <v>41619</v>
      </c>
      <c r="L145" s="10">
        <v>2522.5</v>
      </c>
      <c r="M145" s="10">
        <v>243.4</v>
      </c>
      <c r="N145" s="10">
        <v>8191.1</v>
      </c>
      <c r="O145" s="10">
        <v>5965.7</v>
      </c>
      <c r="P145" s="11">
        <f t="shared" si="17"/>
        <v>77419</v>
      </c>
    </row>
    <row r="146" spans="2:16" ht="34.9" hidden="1" customHeight="1">
      <c r="B146" s="3">
        <v>2015</v>
      </c>
      <c r="C146" s="12"/>
      <c r="D146" s="12"/>
      <c r="E146" s="12"/>
      <c r="F146" s="12"/>
      <c r="G146" s="13"/>
      <c r="H146" s="12"/>
      <c r="I146" s="12"/>
      <c r="J146" s="12"/>
      <c r="K146" s="12"/>
      <c r="L146" s="12"/>
      <c r="M146" s="12"/>
      <c r="N146" s="12"/>
      <c r="O146" s="12"/>
      <c r="P146" s="13"/>
    </row>
    <row r="147" spans="2:16" ht="34.9" hidden="1" customHeight="1">
      <c r="B147" s="14">
        <v>42005</v>
      </c>
      <c r="C147" s="6">
        <f>12003.1+5575.9</f>
        <v>17579</v>
      </c>
      <c r="D147" s="6">
        <v>933.1</v>
      </c>
      <c r="E147" s="6">
        <v>11927.4</v>
      </c>
      <c r="F147" s="6">
        <f>78132.7+1182+663+332.5+245.7+663+663+244.4</f>
        <v>82126.299999999988</v>
      </c>
      <c r="G147" s="7">
        <f t="shared" ref="G147:G154" si="18">SUM(C147:F147)</f>
        <v>112565.79999999999</v>
      </c>
      <c r="H147" s="6">
        <v>100.7</v>
      </c>
      <c r="I147" s="6">
        <v>215.9</v>
      </c>
      <c r="J147" s="6">
        <v>4976.8999999999996</v>
      </c>
      <c r="K147" s="6">
        <f>32110.5+272.5</f>
        <v>32383</v>
      </c>
      <c r="L147" s="6">
        <v>202.7</v>
      </c>
      <c r="M147" s="6">
        <v>19.7</v>
      </c>
      <c r="N147" s="6">
        <v>1692</v>
      </c>
      <c r="O147" s="6">
        <v>3282.4</v>
      </c>
      <c r="P147" s="7">
        <f t="shared" ref="P147:P154" si="19">SUM(H147:O147)</f>
        <v>42873.299999999996</v>
      </c>
    </row>
    <row r="148" spans="2:16" ht="34.9" hidden="1" customHeight="1">
      <c r="B148" s="15">
        <v>42036</v>
      </c>
      <c r="C148" s="10">
        <v>18396</v>
      </c>
      <c r="D148" s="10">
        <v>748.7</v>
      </c>
      <c r="E148" s="10">
        <v>18737.8</v>
      </c>
      <c r="F148" s="10">
        <f>98728.9+669.7+685+203.5+495+206.2+503.5+662.3+681.3</f>
        <v>102835.4</v>
      </c>
      <c r="G148" s="11">
        <f t="shared" si="18"/>
        <v>140717.9</v>
      </c>
      <c r="H148" s="10">
        <v>129.1</v>
      </c>
      <c r="I148" s="10">
        <v>423.5</v>
      </c>
      <c r="J148" s="10">
        <v>5099.3</v>
      </c>
      <c r="K148" s="10">
        <f>30740+200</f>
        <v>30940</v>
      </c>
      <c r="L148" s="10">
        <v>405.4</v>
      </c>
      <c r="M148" s="10">
        <v>51.2</v>
      </c>
      <c r="N148" s="10">
        <v>14418.6</v>
      </c>
      <c r="O148" s="10">
        <v>6220.4</v>
      </c>
      <c r="P148" s="11">
        <f t="shared" si="19"/>
        <v>57687.5</v>
      </c>
    </row>
    <row r="149" spans="2:16" ht="34.9" hidden="1" customHeight="1">
      <c r="B149" s="14">
        <v>42064</v>
      </c>
      <c r="C149" s="6">
        <v>15927</v>
      </c>
      <c r="D149" s="6">
        <v>881.7</v>
      </c>
      <c r="E149" s="6">
        <v>19040.900000000001</v>
      </c>
      <c r="F149" s="6">
        <f>88596.7+692.5+212.5+260+740+2960</f>
        <v>93461.7</v>
      </c>
      <c r="G149" s="7">
        <f t="shared" si="18"/>
        <v>129311.3</v>
      </c>
      <c r="H149" s="6">
        <v>241.8</v>
      </c>
      <c r="I149" s="6">
        <v>1238.5</v>
      </c>
      <c r="J149" s="6">
        <v>13022.9</v>
      </c>
      <c r="K149" s="6">
        <f>26766.4+720</f>
        <v>27486.400000000001</v>
      </c>
      <c r="L149" s="6">
        <v>325.8</v>
      </c>
      <c r="M149" s="6">
        <v>85</v>
      </c>
      <c r="N149" s="6">
        <v>8520</v>
      </c>
      <c r="O149" s="6">
        <f>4670.5+2065+885</f>
        <v>7620.5</v>
      </c>
      <c r="P149" s="7">
        <f t="shared" si="19"/>
        <v>58540.9</v>
      </c>
    </row>
    <row r="150" spans="2:16" ht="34.9" hidden="1" customHeight="1">
      <c r="B150" s="15">
        <v>42095</v>
      </c>
      <c r="C150" s="10">
        <f>21524.4+1075.2</f>
        <v>22599.600000000002</v>
      </c>
      <c r="D150" s="10">
        <v>11063.6</v>
      </c>
      <c r="E150" s="10">
        <v>11010</v>
      </c>
      <c r="F150" s="10">
        <f>80985.1+219.4+350.5+331.2+308+336.7+240+328.4+306+336.7+342.2+328.5</f>
        <v>84412.699999999983</v>
      </c>
      <c r="G150" s="11">
        <f t="shared" si="18"/>
        <v>129085.9</v>
      </c>
      <c r="H150" s="10">
        <v>249.2</v>
      </c>
      <c r="I150" s="10">
        <v>383.3</v>
      </c>
      <c r="J150" s="10">
        <v>7880.9</v>
      </c>
      <c r="K150" s="10">
        <f>12669.3+657.5+670</f>
        <v>13996.8</v>
      </c>
      <c r="L150" s="10">
        <v>621.70000000000005</v>
      </c>
      <c r="M150" s="10">
        <v>187.3</v>
      </c>
      <c r="N150" s="10">
        <v>13029.2</v>
      </c>
      <c r="O150" s="10">
        <v>12278.2</v>
      </c>
      <c r="P150" s="11">
        <f t="shared" si="19"/>
        <v>48626.599999999991</v>
      </c>
    </row>
    <row r="151" spans="2:16" ht="34.9" hidden="1" customHeight="1">
      <c r="B151" s="14">
        <v>42125</v>
      </c>
      <c r="C151" s="6">
        <v>25527.9</v>
      </c>
      <c r="D151" s="6">
        <v>923.4</v>
      </c>
      <c r="E151" s="6">
        <v>10657.4</v>
      </c>
      <c r="F151" s="6">
        <f>88487.6+824.3+214.2+240+316.2+333.2+319.6+376+296.7</f>
        <v>91407.8</v>
      </c>
      <c r="G151" s="7">
        <f t="shared" si="18"/>
        <v>128516.5</v>
      </c>
      <c r="H151" s="6">
        <v>365.2</v>
      </c>
      <c r="I151" s="6">
        <v>155.80000000000001</v>
      </c>
      <c r="J151" s="6">
        <v>894</v>
      </c>
      <c r="K151" s="6">
        <f>10110.7+617.5+623</f>
        <v>11351.2</v>
      </c>
      <c r="L151" s="6">
        <v>331.8</v>
      </c>
      <c r="M151" s="6">
        <v>58.1</v>
      </c>
      <c r="N151" s="6">
        <v>18079.5</v>
      </c>
      <c r="O151" s="6">
        <v>1313.1</v>
      </c>
      <c r="P151" s="7">
        <f t="shared" si="19"/>
        <v>32548.699999999997</v>
      </c>
    </row>
    <row r="152" spans="2:16" ht="34.9" hidden="1" customHeight="1">
      <c r="B152" s="15">
        <v>42156</v>
      </c>
      <c r="C152" s="10">
        <f>27583.6+221.2</f>
        <v>27804.799999999999</v>
      </c>
      <c r="D152" s="10">
        <f>2531.2+925</f>
        <v>3456.2</v>
      </c>
      <c r="E152" s="10">
        <f>38143.3+6480.3</f>
        <v>44623.600000000006</v>
      </c>
      <c r="F152" s="10">
        <f>107246.6+4375.8</f>
        <v>111622.40000000001</v>
      </c>
      <c r="G152" s="11">
        <f t="shared" si="18"/>
        <v>187507</v>
      </c>
      <c r="H152" s="10">
        <v>4366.3</v>
      </c>
      <c r="I152" s="10">
        <v>7002.7</v>
      </c>
      <c r="J152" s="10">
        <f>676.2+7750+3815.2+850</f>
        <v>13091.400000000001</v>
      </c>
      <c r="K152" s="10">
        <f>11553.5+1013.3</f>
        <v>12566.8</v>
      </c>
      <c r="L152" s="10">
        <v>254.2</v>
      </c>
      <c r="M152" s="10">
        <v>57.1</v>
      </c>
      <c r="N152" s="10">
        <v>11264</v>
      </c>
      <c r="O152" s="10">
        <v>1582.1</v>
      </c>
      <c r="P152" s="11">
        <f t="shared" si="19"/>
        <v>50184.599999999991</v>
      </c>
    </row>
    <row r="153" spans="2:16" ht="34.9" hidden="1" customHeight="1">
      <c r="B153" s="14">
        <v>42186</v>
      </c>
      <c r="C153" s="6">
        <f>12650.2+4519.2</f>
        <v>17169.400000000001</v>
      </c>
      <c r="D153" s="6">
        <v>3580</v>
      </c>
      <c r="E153" s="6">
        <f>45932.9+250+114.3</f>
        <v>46297.200000000004</v>
      </c>
      <c r="F153" s="6">
        <f>100349.8+121346.5</f>
        <v>221696.3</v>
      </c>
      <c r="G153" s="7">
        <f t="shared" si="18"/>
        <v>288742.90000000002</v>
      </c>
      <c r="H153" s="6">
        <v>408</v>
      </c>
      <c r="I153" s="6">
        <v>223.5</v>
      </c>
      <c r="J153" s="6">
        <v>686.5</v>
      </c>
      <c r="K153" s="6">
        <f>4508.1+231</f>
        <v>4739.1000000000004</v>
      </c>
      <c r="L153" s="6">
        <v>211.2</v>
      </c>
      <c r="M153" s="6">
        <v>41.8</v>
      </c>
      <c r="N153" s="6">
        <v>8866</v>
      </c>
      <c r="O153" s="6">
        <f>33192.3+220468.6</f>
        <v>253660.90000000002</v>
      </c>
      <c r="P153" s="7">
        <f t="shared" si="19"/>
        <v>268837</v>
      </c>
    </row>
    <row r="154" spans="2:16" ht="34.9" hidden="1" customHeight="1">
      <c r="B154" s="15">
        <v>42217</v>
      </c>
      <c r="C154" s="10">
        <v>41824.129000000001</v>
      </c>
      <c r="D154" s="10">
        <v>1332.6880000000001</v>
      </c>
      <c r="E154" s="10">
        <v>59004.805</v>
      </c>
      <c r="F154" s="10">
        <v>145696.05900000001</v>
      </c>
      <c r="G154" s="11">
        <f t="shared" si="18"/>
        <v>247857.68100000001</v>
      </c>
      <c r="H154" s="10">
        <v>315.40199999999999</v>
      </c>
      <c r="I154" s="10">
        <v>902.85900000000004</v>
      </c>
      <c r="J154" s="10">
        <v>617.71299999999997</v>
      </c>
      <c r="K154" s="10">
        <v>11438.135</v>
      </c>
      <c r="L154" s="10">
        <v>740.95600000000002</v>
      </c>
      <c r="M154" s="10">
        <v>31.757999999999999</v>
      </c>
      <c r="N154" s="10">
        <v>9966.1630000000005</v>
      </c>
      <c r="O154" s="10">
        <v>9676.8070000000007</v>
      </c>
      <c r="P154" s="11">
        <f t="shared" si="19"/>
        <v>33689.793000000005</v>
      </c>
    </row>
    <row r="155" spans="2:16" ht="34.9" hidden="1" customHeight="1">
      <c r="B155" s="14">
        <v>42248</v>
      </c>
      <c r="C155" s="6">
        <v>23062.2</v>
      </c>
      <c r="D155" s="6">
        <v>1213.0999999999999</v>
      </c>
      <c r="E155" s="6">
        <v>32347.7</v>
      </c>
      <c r="F155" s="6">
        <v>96916.6</v>
      </c>
      <c r="G155" s="7">
        <v>153539.6</v>
      </c>
      <c r="H155" s="6">
        <v>2061.3000000000002</v>
      </c>
      <c r="I155" s="6">
        <v>286.60000000000002</v>
      </c>
      <c r="J155" s="6">
        <v>689.6</v>
      </c>
      <c r="K155" s="6">
        <v>16129.6</v>
      </c>
      <c r="L155" s="6">
        <v>490.4</v>
      </c>
      <c r="M155" s="6">
        <v>197</v>
      </c>
      <c r="N155" s="6">
        <v>6695.4</v>
      </c>
      <c r="O155" s="6">
        <v>1217.0999999999999</v>
      </c>
      <c r="P155" s="7">
        <v>27766.9</v>
      </c>
    </row>
    <row r="156" spans="2:16" ht="34.9" hidden="1" customHeight="1">
      <c r="B156" s="15">
        <v>42278</v>
      </c>
      <c r="C156" s="10">
        <v>27731.206999999999</v>
      </c>
      <c r="D156" s="10">
        <v>1056.0409999999999</v>
      </c>
      <c r="E156" s="10">
        <v>35222.701999999997</v>
      </c>
      <c r="F156" s="10">
        <v>110984.54700000001</v>
      </c>
      <c r="G156" s="11">
        <f>SUM(C156:F156)</f>
        <v>174994.497</v>
      </c>
      <c r="H156" s="10">
        <v>4514.8249999999998</v>
      </c>
      <c r="I156" s="10">
        <v>990.54100000000005</v>
      </c>
      <c r="J156" s="10">
        <v>2139.4749999999999</v>
      </c>
      <c r="K156" s="10">
        <v>13200.271000000001</v>
      </c>
      <c r="L156" s="10">
        <v>681.94600000000003</v>
      </c>
      <c r="M156" s="10">
        <v>106.92</v>
      </c>
      <c r="N156" s="10">
        <v>7247</v>
      </c>
      <c r="O156" s="10">
        <v>1780.51</v>
      </c>
      <c r="P156" s="11">
        <f>SUM(H156:O156)</f>
        <v>30661.487999999998</v>
      </c>
    </row>
    <row r="157" spans="2:16" ht="34.9" hidden="1" customHeight="1">
      <c r="B157" s="14">
        <v>42309</v>
      </c>
      <c r="C157" s="6">
        <v>12354.342000000001</v>
      </c>
      <c r="D157" s="6">
        <v>4016.2020000000002</v>
      </c>
      <c r="E157" s="6">
        <v>29338.866000000002</v>
      </c>
      <c r="F157" s="6">
        <v>44803.938999999998</v>
      </c>
      <c r="G157" s="7">
        <f>SUM(C157:F157)</f>
        <v>90513.349000000002</v>
      </c>
      <c r="H157" s="6">
        <v>1713.1659999999999</v>
      </c>
      <c r="I157" s="6">
        <v>311.428</v>
      </c>
      <c r="J157" s="6">
        <v>733.58100000000002</v>
      </c>
      <c r="K157" s="6">
        <v>11340.915999999999</v>
      </c>
      <c r="L157" s="6">
        <v>1849.846</v>
      </c>
      <c r="M157" s="6">
        <v>15.872</v>
      </c>
      <c r="N157" s="6">
        <v>4203.8440000000001</v>
      </c>
      <c r="O157" s="6">
        <v>11930.753000000001</v>
      </c>
      <c r="P157" s="7">
        <f>SUM(H157:O157)</f>
        <v>32099.405999999999</v>
      </c>
    </row>
    <row r="158" spans="2:16" ht="34.9" hidden="1" customHeight="1">
      <c r="B158" s="15">
        <v>42339</v>
      </c>
      <c r="C158" s="10">
        <v>472660.7</v>
      </c>
      <c r="D158" s="10">
        <v>6413</v>
      </c>
      <c r="E158" s="10">
        <v>30925.1</v>
      </c>
      <c r="F158" s="10">
        <v>47592</v>
      </c>
      <c r="G158" s="11">
        <f>SUM(C158:F158)</f>
        <v>557590.80000000005</v>
      </c>
      <c r="H158" s="10">
        <v>13074.5</v>
      </c>
      <c r="I158" s="10">
        <v>1203.2</v>
      </c>
      <c r="J158" s="10">
        <v>1194.3</v>
      </c>
      <c r="K158" s="10">
        <v>13125.3</v>
      </c>
      <c r="L158" s="10">
        <v>9186.9</v>
      </c>
      <c r="M158" s="10">
        <v>129.6</v>
      </c>
      <c r="N158" s="10">
        <v>6400.7</v>
      </c>
      <c r="O158" s="10">
        <v>1742.3</v>
      </c>
      <c r="P158" s="11">
        <f>SUM(H158:O158)</f>
        <v>46056.799999999996</v>
      </c>
    </row>
    <row r="159" spans="2:16" ht="34.9" hidden="1" customHeight="1">
      <c r="B159" s="3">
        <v>2016</v>
      </c>
      <c r="C159" s="12"/>
      <c r="D159" s="12"/>
      <c r="E159" s="12"/>
      <c r="F159" s="12"/>
      <c r="G159" s="13"/>
      <c r="H159" s="12"/>
      <c r="I159" s="12"/>
      <c r="J159" s="12"/>
      <c r="K159" s="12"/>
      <c r="L159" s="12"/>
      <c r="M159" s="12"/>
      <c r="N159" s="12"/>
      <c r="O159" s="12"/>
      <c r="P159" s="13"/>
    </row>
    <row r="160" spans="2:16" ht="34.9" hidden="1" customHeight="1">
      <c r="B160" s="14">
        <v>42370</v>
      </c>
      <c r="C160" s="6">
        <v>24169.1</v>
      </c>
      <c r="D160" s="6">
        <v>317.3</v>
      </c>
      <c r="E160" s="6">
        <v>39479.599999999999</v>
      </c>
      <c r="F160" s="6">
        <v>52607.6</v>
      </c>
      <c r="G160" s="7">
        <f t="shared" ref="G160:G171" si="20">SUM(C160:F160)</f>
        <v>116573.6</v>
      </c>
      <c r="H160" s="6">
        <v>2247.6</v>
      </c>
      <c r="I160" s="6">
        <v>333.4</v>
      </c>
      <c r="J160" s="6">
        <v>3076.6</v>
      </c>
      <c r="K160" s="6">
        <v>29343.4</v>
      </c>
      <c r="L160" s="6">
        <v>806.1</v>
      </c>
      <c r="M160" s="6">
        <v>292.7</v>
      </c>
      <c r="N160" s="6">
        <v>6826.2</v>
      </c>
      <c r="O160" s="6">
        <v>2472.3000000000002</v>
      </c>
      <c r="P160" s="7">
        <f t="shared" ref="P160:P171" si="21">SUM(H160:O160)</f>
        <v>45398.299999999996</v>
      </c>
    </row>
    <row r="161" spans="2:16" ht="34.9" hidden="1" customHeight="1">
      <c r="B161" s="15">
        <v>42401</v>
      </c>
      <c r="C161" s="10">
        <v>63331.171999999999</v>
      </c>
      <c r="D161" s="10">
        <v>571.928</v>
      </c>
      <c r="E161" s="10">
        <v>30597.124</v>
      </c>
      <c r="F161" s="10">
        <v>46988.648999999998</v>
      </c>
      <c r="G161" s="11">
        <f t="shared" si="20"/>
        <v>141488.87299999999</v>
      </c>
      <c r="H161" s="10">
        <v>643.83600000000001</v>
      </c>
      <c r="I161" s="10">
        <v>1153.4829999999999</v>
      </c>
      <c r="J161" s="10">
        <v>7564.09</v>
      </c>
      <c r="K161" s="10">
        <v>19850.151000000002</v>
      </c>
      <c r="L161" s="10">
        <v>321.786</v>
      </c>
      <c r="M161" s="10">
        <v>509.51600000000002</v>
      </c>
      <c r="N161" s="10">
        <v>5242.0789999999997</v>
      </c>
      <c r="O161" s="10">
        <v>1799.1189999999999</v>
      </c>
      <c r="P161" s="11">
        <f t="shared" si="21"/>
        <v>37084.06</v>
      </c>
    </row>
    <row r="162" spans="2:16" ht="34.9" hidden="1" customHeight="1">
      <c r="B162" s="14">
        <v>42430</v>
      </c>
      <c r="C162" s="6">
        <v>69142.331000000006</v>
      </c>
      <c r="D162" s="6">
        <v>271.92</v>
      </c>
      <c r="E162" s="6">
        <v>30768.870999999999</v>
      </c>
      <c r="F162" s="6">
        <v>63613.103000000003</v>
      </c>
      <c r="G162" s="7">
        <f t="shared" si="20"/>
        <v>163796.22500000001</v>
      </c>
      <c r="H162" s="6">
        <v>3622.5039999999999</v>
      </c>
      <c r="I162" s="6">
        <v>1755.5150000000001</v>
      </c>
      <c r="J162" s="6">
        <v>4863.7520000000004</v>
      </c>
      <c r="K162" s="6">
        <v>17914.056</v>
      </c>
      <c r="L162" s="6">
        <v>490.74400000000003</v>
      </c>
      <c r="M162" s="6">
        <v>115.345</v>
      </c>
      <c r="N162" s="6">
        <v>9717.732</v>
      </c>
      <c r="O162" s="6">
        <v>1234.7460000000001</v>
      </c>
      <c r="P162" s="7">
        <f t="shared" si="21"/>
        <v>39714.394</v>
      </c>
    </row>
    <row r="163" spans="2:16" ht="34.9" hidden="1" customHeight="1">
      <c r="B163" s="15">
        <v>42461</v>
      </c>
      <c r="C163" s="10">
        <v>31722.6</v>
      </c>
      <c r="D163" s="10">
        <v>1237.3</v>
      </c>
      <c r="E163" s="10">
        <v>13053.6</v>
      </c>
      <c r="F163" s="10">
        <v>44260.9</v>
      </c>
      <c r="G163" s="11">
        <f t="shared" si="20"/>
        <v>90274.4</v>
      </c>
      <c r="H163" s="10">
        <v>746.2</v>
      </c>
      <c r="I163" s="10">
        <v>7173.4</v>
      </c>
      <c r="J163" s="10">
        <v>1180</v>
      </c>
      <c r="K163" s="10">
        <v>10692.7</v>
      </c>
      <c r="L163" s="10">
        <v>77</v>
      </c>
      <c r="M163" s="10">
        <v>31.2</v>
      </c>
      <c r="N163" s="10">
        <v>8911.9</v>
      </c>
      <c r="O163" s="10">
        <v>12799.3</v>
      </c>
      <c r="P163" s="11">
        <f t="shared" si="21"/>
        <v>41611.699999999997</v>
      </c>
    </row>
    <row r="164" spans="2:16" ht="34.9" hidden="1" customHeight="1">
      <c r="B164" s="14">
        <v>42491</v>
      </c>
      <c r="C164" s="6">
        <v>25455.5</v>
      </c>
      <c r="D164" s="6">
        <v>1337.7</v>
      </c>
      <c r="E164" s="6">
        <v>17058.599999999999</v>
      </c>
      <c r="F164" s="6">
        <v>49195.8</v>
      </c>
      <c r="G164" s="7">
        <f t="shared" si="20"/>
        <v>93047.6</v>
      </c>
      <c r="H164" s="6">
        <v>191.5</v>
      </c>
      <c r="I164" s="6">
        <v>27868.1</v>
      </c>
      <c r="J164" s="6">
        <v>1873.2</v>
      </c>
      <c r="K164" s="6">
        <v>6969.9</v>
      </c>
      <c r="L164" s="6">
        <v>158.5</v>
      </c>
      <c r="M164" s="6">
        <v>22.1</v>
      </c>
      <c r="N164" s="6">
        <v>3730.9</v>
      </c>
      <c r="O164" s="6">
        <v>3007.1</v>
      </c>
      <c r="P164" s="7">
        <f t="shared" si="21"/>
        <v>43821.299999999996</v>
      </c>
    </row>
    <row r="165" spans="2:16" ht="34.9" hidden="1" customHeight="1">
      <c r="B165" s="15">
        <v>42522</v>
      </c>
      <c r="C165" s="10">
        <v>33880.161</v>
      </c>
      <c r="D165" s="10">
        <v>576.17999999999995</v>
      </c>
      <c r="E165" s="10">
        <v>21642.491999999998</v>
      </c>
      <c r="F165" s="10">
        <v>35989.953999999998</v>
      </c>
      <c r="G165" s="11">
        <f t="shared" si="20"/>
        <v>92088.786999999997</v>
      </c>
      <c r="H165" s="10">
        <v>413.70800000000003</v>
      </c>
      <c r="I165" s="10">
        <v>866.88800000000003</v>
      </c>
      <c r="J165" s="10">
        <v>2649.0189999999998</v>
      </c>
      <c r="K165" s="10">
        <v>10173.467000000001</v>
      </c>
      <c r="L165" s="10">
        <v>116.658</v>
      </c>
      <c r="M165" s="10">
        <v>12.868</v>
      </c>
      <c r="N165" s="10">
        <v>5222.8339999999998</v>
      </c>
      <c r="O165" s="10">
        <v>2954.8240000000001</v>
      </c>
      <c r="P165" s="11">
        <f t="shared" si="21"/>
        <v>22410.266</v>
      </c>
    </row>
    <row r="166" spans="2:16" ht="34.9" hidden="1" customHeight="1">
      <c r="B166" s="14">
        <v>42552</v>
      </c>
      <c r="C166" s="6">
        <v>22281.753000000001</v>
      </c>
      <c r="D166" s="6">
        <v>683.89200000000005</v>
      </c>
      <c r="E166" s="6">
        <v>17731.57</v>
      </c>
      <c r="F166" s="6">
        <v>25074.935000000001</v>
      </c>
      <c r="G166" s="7">
        <f t="shared" si="20"/>
        <v>65772.149999999994</v>
      </c>
      <c r="H166" s="6">
        <v>311.15699999999998</v>
      </c>
      <c r="I166" s="6">
        <v>892.19399999999996</v>
      </c>
      <c r="J166" s="6">
        <v>3708.5410000000002</v>
      </c>
      <c r="K166" s="6">
        <v>11542.643</v>
      </c>
      <c r="L166" s="6">
        <v>120.964</v>
      </c>
      <c r="M166" s="6">
        <v>14.05</v>
      </c>
      <c r="N166" s="6">
        <v>2672.9540000000002</v>
      </c>
      <c r="O166" s="6">
        <v>1353.857</v>
      </c>
      <c r="P166" s="7">
        <f t="shared" si="21"/>
        <v>20616.36</v>
      </c>
    </row>
    <row r="167" spans="2:16" ht="34.9" hidden="1" customHeight="1">
      <c r="B167" s="15">
        <v>42583</v>
      </c>
      <c r="C167" s="10">
        <v>23521.981</v>
      </c>
      <c r="D167" s="10">
        <v>549.21100000000001</v>
      </c>
      <c r="E167" s="10">
        <v>21511.473999999998</v>
      </c>
      <c r="F167" s="10">
        <v>47052.925000000003</v>
      </c>
      <c r="G167" s="11">
        <f t="shared" si="20"/>
        <v>92635.591</v>
      </c>
      <c r="H167" s="10">
        <v>104.542</v>
      </c>
      <c r="I167" s="10">
        <v>1035.223</v>
      </c>
      <c r="J167" s="10">
        <v>10334.527</v>
      </c>
      <c r="K167" s="10">
        <v>10798.607</v>
      </c>
      <c r="L167" s="10">
        <v>335.03199999999998</v>
      </c>
      <c r="M167" s="10">
        <v>69.123000000000005</v>
      </c>
      <c r="N167" s="10">
        <v>10534.960999999999</v>
      </c>
      <c r="O167" s="10">
        <v>3347.875</v>
      </c>
      <c r="P167" s="11">
        <f t="shared" si="21"/>
        <v>36559.89</v>
      </c>
    </row>
    <row r="168" spans="2:16" ht="34.9" hidden="1" customHeight="1">
      <c r="B168" s="14">
        <v>42614</v>
      </c>
      <c r="C168" s="6">
        <v>15135.297</v>
      </c>
      <c r="D168" s="6">
        <v>164.24100000000001</v>
      </c>
      <c r="E168" s="6">
        <v>21044.348000000002</v>
      </c>
      <c r="F168" s="6">
        <v>20149.597000000002</v>
      </c>
      <c r="G168" s="7">
        <f t="shared" si="20"/>
        <v>56493.483</v>
      </c>
      <c r="H168" s="6">
        <v>62.433</v>
      </c>
      <c r="I168" s="6">
        <v>300.52199999999999</v>
      </c>
      <c r="J168" s="6">
        <v>4139.259</v>
      </c>
      <c r="K168" s="6">
        <v>9846.5679999999993</v>
      </c>
      <c r="L168" s="6">
        <v>524.34199999999998</v>
      </c>
      <c r="M168" s="6">
        <v>13.103999999999999</v>
      </c>
      <c r="N168" s="6">
        <v>9112.4279999999999</v>
      </c>
      <c r="O168" s="6">
        <v>25465.023000000001</v>
      </c>
      <c r="P168" s="7">
        <f t="shared" si="21"/>
        <v>49463.679000000004</v>
      </c>
    </row>
    <row r="169" spans="2:16" ht="34.9" hidden="1" customHeight="1">
      <c r="B169" s="15">
        <v>42644</v>
      </c>
      <c r="C169" s="10">
        <v>56331.760999999999</v>
      </c>
      <c r="D169" s="10">
        <v>559.822</v>
      </c>
      <c r="E169" s="10">
        <v>22909.721000000001</v>
      </c>
      <c r="F169" s="10">
        <v>27105.436000000002</v>
      </c>
      <c r="G169" s="11">
        <f t="shared" si="20"/>
        <v>106906.74</v>
      </c>
      <c r="H169" s="10">
        <v>572.971</v>
      </c>
      <c r="I169" s="10">
        <v>328.40199999999999</v>
      </c>
      <c r="J169" s="10">
        <v>5568.7449999999999</v>
      </c>
      <c r="K169" s="10">
        <v>13702.221</v>
      </c>
      <c r="L169" s="10">
        <v>908.70399999999995</v>
      </c>
      <c r="M169" s="10">
        <v>15.294</v>
      </c>
      <c r="N169" s="10">
        <v>6480.3280000000004</v>
      </c>
      <c r="O169" s="10">
        <v>2354.337</v>
      </c>
      <c r="P169" s="11">
        <f t="shared" si="21"/>
        <v>29931.002000000004</v>
      </c>
    </row>
    <row r="170" spans="2:16" ht="34.9" hidden="1" customHeight="1">
      <c r="B170" s="14">
        <v>42675</v>
      </c>
      <c r="C170" s="6">
        <v>33321.555999999997</v>
      </c>
      <c r="D170" s="6">
        <v>839.29399999999998</v>
      </c>
      <c r="E170" s="6">
        <v>25204.276999999998</v>
      </c>
      <c r="F170" s="6">
        <v>33220.839999999997</v>
      </c>
      <c r="G170" s="7">
        <f t="shared" si="20"/>
        <v>92585.96699999999</v>
      </c>
      <c r="H170" s="6">
        <v>140.9</v>
      </c>
      <c r="I170" s="6">
        <v>202.70699999999999</v>
      </c>
      <c r="J170" s="6">
        <v>2549.8319999999999</v>
      </c>
      <c r="K170" s="6">
        <v>11536.968999999999</v>
      </c>
      <c r="L170" s="6">
        <v>2066.3989999999999</v>
      </c>
      <c r="M170" s="6">
        <v>45.201000000000001</v>
      </c>
      <c r="N170" s="6">
        <v>5793.0029999999997</v>
      </c>
      <c r="O170" s="6">
        <v>11935.335999999999</v>
      </c>
      <c r="P170" s="7">
        <f t="shared" si="21"/>
        <v>34270.347000000002</v>
      </c>
    </row>
    <row r="171" spans="2:16" ht="34.9" hidden="1" customHeight="1">
      <c r="B171" s="15">
        <v>42705</v>
      </c>
      <c r="C171" s="10">
        <v>31518.191999999999</v>
      </c>
      <c r="D171" s="10">
        <v>748.78200000000004</v>
      </c>
      <c r="E171" s="10">
        <v>30882.547999999999</v>
      </c>
      <c r="F171" s="10">
        <v>27294.933000000001</v>
      </c>
      <c r="G171" s="11">
        <f t="shared" si="20"/>
        <v>90444.455000000002</v>
      </c>
      <c r="H171" s="10">
        <v>57.781999999999996</v>
      </c>
      <c r="I171" s="10">
        <v>441.73599999999999</v>
      </c>
      <c r="J171" s="10">
        <v>1455.46</v>
      </c>
      <c r="K171" s="10">
        <v>11511.040999999999</v>
      </c>
      <c r="L171" s="10">
        <v>1519.931</v>
      </c>
      <c r="M171" s="10">
        <v>36.363</v>
      </c>
      <c r="N171" s="10">
        <v>6319.3829999999998</v>
      </c>
      <c r="O171" s="10">
        <v>1416.328</v>
      </c>
      <c r="P171" s="11">
        <f t="shared" si="21"/>
        <v>22758.024000000001</v>
      </c>
    </row>
    <row r="172" spans="2:16" ht="34.9" hidden="1" customHeight="1">
      <c r="B172" s="3">
        <v>2017</v>
      </c>
      <c r="C172" s="12"/>
      <c r="D172" s="12"/>
      <c r="E172" s="12"/>
      <c r="F172" s="12"/>
      <c r="G172" s="13"/>
      <c r="H172" s="12"/>
      <c r="I172" s="12"/>
      <c r="J172" s="12"/>
      <c r="K172" s="12"/>
      <c r="L172" s="12"/>
      <c r="M172" s="12"/>
      <c r="N172" s="12"/>
      <c r="O172" s="12"/>
      <c r="P172" s="13"/>
    </row>
    <row r="173" spans="2:16" ht="34.9" hidden="1" customHeight="1">
      <c r="B173" s="14">
        <v>42736</v>
      </c>
      <c r="C173" s="6">
        <v>152206.459</v>
      </c>
      <c r="D173" s="6">
        <v>1462.838</v>
      </c>
      <c r="E173" s="6">
        <v>40142.955000000002</v>
      </c>
      <c r="F173" s="6">
        <v>31807.061000000002</v>
      </c>
      <c r="G173" s="7">
        <f t="shared" ref="G173:G184" si="22">SUM(C173:F173)</f>
        <v>225619.31299999997</v>
      </c>
      <c r="H173" s="6">
        <v>221.42699999999999</v>
      </c>
      <c r="I173" s="6">
        <v>557.89099999999996</v>
      </c>
      <c r="J173" s="6">
        <v>4896.5349999999999</v>
      </c>
      <c r="K173" s="6">
        <v>12347.561</v>
      </c>
      <c r="L173" s="6">
        <v>989.61099999999999</v>
      </c>
      <c r="M173" s="6">
        <v>125.07899999999999</v>
      </c>
      <c r="N173" s="6">
        <v>4788.165</v>
      </c>
      <c r="O173" s="6">
        <v>1751.8810000000001</v>
      </c>
      <c r="P173" s="7">
        <f t="shared" ref="P173:P184" si="23">SUM(H173:O173)</f>
        <v>25678.150000000005</v>
      </c>
    </row>
    <row r="174" spans="2:16" ht="34.9" hidden="1" customHeight="1">
      <c r="B174" s="15">
        <v>42767</v>
      </c>
      <c r="C174" s="10">
        <v>879558.929</v>
      </c>
      <c r="D174" s="10">
        <v>3507.598</v>
      </c>
      <c r="E174" s="10">
        <v>26043.371999999999</v>
      </c>
      <c r="F174" s="10">
        <v>32560.227999999999</v>
      </c>
      <c r="G174" s="11">
        <f t="shared" si="22"/>
        <v>941670.12699999998</v>
      </c>
      <c r="H174" s="10">
        <v>126.185</v>
      </c>
      <c r="I174" s="10">
        <v>300.31700000000001</v>
      </c>
      <c r="J174" s="10">
        <v>6987.3810000000003</v>
      </c>
      <c r="K174" s="10">
        <v>5573.4179999999997</v>
      </c>
      <c r="L174" s="10">
        <v>693.69899999999996</v>
      </c>
      <c r="M174" s="10">
        <v>66.481999999999999</v>
      </c>
      <c r="N174" s="10">
        <v>8463.7880000000005</v>
      </c>
      <c r="O174" s="10">
        <v>12018.035</v>
      </c>
      <c r="P174" s="11">
        <f t="shared" si="23"/>
        <v>34229.305</v>
      </c>
    </row>
    <row r="175" spans="2:16" ht="34.9" hidden="1" customHeight="1">
      <c r="B175" s="14">
        <v>42795</v>
      </c>
      <c r="C175" s="6">
        <v>27101.888999999999</v>
      </c>
      <c r="D175" s="6">
        <v>1384.0889999999999</v>
      </c>
      <c r="E175" s="6">
        <v>40684.999000000003</v>
      </c>
      <c r="F175" s="6">
        <v>35063.468999999997</v>
      </c>
      <c r="G175" s="7">
        <f t="shared" si="22"/>
        <v>104234.446</v>
      </c>
      <c r="H175" s="6">
        <v>1262.633</v>
      </c>
      <c r="I175" s="6">
        <v>476.13</v>
      </c>
      <c r="J175" s="6">
        <v>7609.1750000000002</v>
      </c>
      <c r="K175" s="6">
        <v>11875.15</v>
      </c>
      <c r="L175" s="6">
        <v>769.63499999999999</v>
      </c>
      <c r="M175" s="6">
        <v>53.246000000000002</v>
      </c>
      <c r="N175" s="6">
        <v>10281.302</v>
      </c>
      <c r="O175" s="6">
        <v>5167.8140000000003</v>
      </c>
      <c r="P175" s="7">
        <f t="shared" si="23"/>
        <v>37495.084999999999</v>
      </c>
    </row>
    <row r="176" spans="2:16" ht="34.9" hidden="1" customHeight="1">
      <c r="B176" s="15">
        <v>42826</v>
      </c>
      <c r="C176" s="10">
        <v>22621.257000000001</v>
      </c>
      <c r="D176" s="10">
        <v>1669.942</v>
      </c>
      <c r="E176" s="10">
        <v>42473.109999999993</v>
      </c>
      <c r="F176" s="10">
        <v>33795.493000000002</v>
      </c>
      <c r="G176" s="11">
        <f t="shared" si="22"/>
        <v>100559.802</v>
      </c>
      <c r="H176" s="10">
        <v>395.09299999999996</v>
      </c>
      <c r="I176" s="10">
        <v>7569.585</v>
      </c>
      <c r="J176" s="10">
        <v>10095.133</v>
      </c>
      <c r="K176" s="10">
        <v>11078.959000000001</v>
      </c>
      <c r="L176" s="10">
        <v>1078.7239999999999</v>
      </c>
      <c r="M176" s="10">
        <v>32.326000000000001</v>
      </c>
      <c r="N176" s="10">
        <v>14322.767</v>
      </c>
      <c r="O176" s="10">
        <v>3514.54</v>
      </c>
      <c r="P176" s="11">
        <f t="shared" si="23"/>
        <v>48087.127</v>
      </c>
    </row>
    <row r="177" spans="2:16" ht="34.9" hidden="1" customHeight="1">
      <c r="B177" s="14">
        <v>42856</v>
      </c>
      <c r="C177" s="6">
        <v>23781.143</v>
      </c>
      <c r="D177" s="6">
        <v>661.42100000000005</v>
      </c>
      <c r="E177" s="6">
        <v>25695.541000000001</v>
      </c>
      <c r="F177" s="6">
        <v>32567.875</v>
      </c>
      <c r="G177" s="7">
        <f t="shared" si="22"/>
        <v>82705.98</v>
      </c>
      <c r="H177" s="6">
        <v>370.87599999999998</v>
      </c>
      <c r="I177" s="6">
        <v>475.17700000000002</v>
      </c>
      <c r="J177" s="6">
        <v>5621.0969999999998</v>
      </c>
      <c r="K177" s="6">
        <v>11852.018</v>
      </c>
      <c r="L177" s="6">
        <v>785.80100000000004</v>
      </c>
      <c r="M177" s="6">
        <v>28.446000000000002</v>
      </c>
      <c r="N177" s="6">
        <v>8453.0840000000007</v>
      </c>
      <c r="O177" s="6">
        <v>2354.6390000000001</v>
      </c>
      <c r="P177" s="7">
        <f t="shared" si="23"/>
        <v>29941.137999999995</v>
      </c>
    </row>
    <row r="178" spans="2:16" ht="34.9" hidden="1" customHeight="1">
      <c r="B178" s="15">
        <v>42887</v>
      </c>
      <c r="C178" s="10">
        <v>49094.152999999998</v>
      </c>
      <c r="D178" s="10">
        <v>354.72300000000001</v>
      </c>
      <c r="E178" s="10">
        <v>15680.228999999999</v>
      </c>
      <c r="F178" s="10">
        <v>19974.509999999998</v>
      </c>
      <c r="G178" s="11">
        <f t="shared" si="22"/>
        <v>85103.614999999991</v>
      </c>
      <c r="H178" s="10">
        <v>1074.1990000000001</v>
      </c>
      <c r="I178" s="10">
        <v>290.95</v>
      </c>
      <c r="J178" s="10">
        <v>4693.6869999999999</v>
      </c>
      <c r="K178" s="10">
        <v>11901.218000000001</v>
      </c>
      <c r="L178" s="10">
        <v>336.85</v>
      </c>
      <c r="M178" s="10">
        <v>10.744</v>
      </c>
      <c r="N178" s="10">
        <v>3772.0619999999999</v>
      </c>
      <c r="O178" s="10">
        <v>860.89099999999996</v>
      </c>
      <c r="P178" s="11">
        <f t="shared" si="23"/>
        <v>22940.600999999999</v>
      </c>
    </row>
    <row r="179" spans="2:16" ht="34.9" hidden="1" customHeight="1">
      <c r="B179" s="14">
        <v>42917</v>
      </c>
      <c r="C179" s="6">
        <v>14420.824000000001</v>
      </c>
      <c r="D179" s="6">
        <v>1157.921</v>
      </c>
      <c r="E179" s="6">
        <v>27274.327000000001</v>
      </c>
      <c r="F179" s="6">
        <v>24219.439999999999</v>
      </c>
      <c r="G179" s="7">
        <f t="shared" si="22"/>
        <v>67072.512000000002</v>
      </c>
      <c r="H179" s="6">
        <v>869.24199999999996</v>
      </c>
      <c r="I179" s="6">
        <v>2178.6469999999999</v>
      </c>
      <c r="J179" s="6">
        <v>12426.35</v>
      </c>
      <c r="K179" s="6">
        <v>19430.611000000001</v>
      </c>
      <c r="L179" s="6">
        <v>521.15099999999995</v>
      </c>
      <c r="M179" s="6">
        <v>33.122</v>
      </c>
      <c r="N179" s="6">
        <v>9250.4249999999993</v>
      </c>
      <c r="O179" s="6">
        <v>3539.8890000000001</v>
      </c>
      <c r="P179" s="7">
        <f t="shared" si="23"/>
        <v>48249.437000000013</v>
      </c>
    </row>
    <row r="180" spans="2:16" ht="34.9" hidden="1" customHeight="1">
      <c r="B180" s="15">
        <v>42948</v>
      </c>
      <c r="C180" s="10">
        <v>18644.937999999998</v>
      </c>
      <c r="D180" s="10">
        <v>1588.761</v>
      </c>
      <c r="E180" s="10">
        <v>21075.226500000001</v>
      </c>
      <c r="F180" s="10">
        <v>20756.184000000001</v>
      </c>
      <c r="G180" s="11">
        <f t="shared" si="22"/>
        <v>62065.109499999999</v>
      </c>
      <c r="H180" s="10">
        <v>133.94300000000001</v>
      </c>
      <c r="I180" s="10">
        <v>1161.0170000000001</v>
      </c>
      <c r="J180" s="10">
        <v>8025.942</v>
      </c>
      <c r="K180" s="10">
        <f>13255.317+250.48</f>
        <v>13505.796999999999</v>
      </c>
      <c r="L180" s="10">
        <v>303.67700000000002</v>
      </c>
      <c r="M180" s="10">
        <v>67.263999999999996</v>
      </c>
      <c r="N180" s="10">
        <v>6403.8069999999998</v>
      </c>
      <c r="O180" s="10">
        <v>1084.4559999999999</v>
      </c>
      <c r="P180" s="11">
        <f t="shared" si="23"/>
        <v>30685.902999999998</v>
      </c>
    </row>
    <row r="181" spans="2:16" ht="34.9" hidden="1" customHeight="1">
      <c r="B181" s="14">
        <v>42979</v>
      </c>
      <c r="C181" s="6">
        <v>13792.724</v>
      </c>
      <c r="D181" s="6">
        <v>1172.1500000000001</v>
      </c>
      <c r="E181" s="6">
        <v>16101.674000000001</v>
      </c>
      <c r="F181" s="6">
        <v>15515.748</v>
      </c>
      <c r="G181" s="7">
        <f t="shared" si="22"/>
        <v>46582.296000000002</v>
      </c>
      <c r="H181" s="6">
        <v>46.459000000000003</v>
      </c>
      <c r="I181" s="6">
        <v>183.55799999999999</v>
      </c>
      <c r="J181" s="6">
        <v>6089.6239999999998</v>
      </c>
      <c r="K181" s="6">
        <v>5094.71</v>
      </c>
      <c r="L181" s="6">
        <v>593.71400000000006</v>
      </c>
      <c r="M181" s="6">
        <v>26.655000000000001</v>
      </c>
      <c r="N181" s="6">
        <v>3788.7950000000001</v>
      </c>
      <c r="O181" s="6">
        <v>1027.808</v>
      </c>
      <c r="P181" s="7">
        <f t="shared" si="23"/>
        <v>16851.323</v>
      </c>
    </row>
    <row r="182" spans="2:16" ht="34.9" hidden="1" customHeight="1">
      <c r="B182" s="15">
        <v>43009</v>
      </c>
      <c r="C182" s="10">
        <v>12407.371999999999</v>
      </c>
      <c r="D182" s="10">
        <v>1546.1849999999999</v>
      </c>
      <c r="E182" s="10">
        <v>20009.386999999999</v>
      </c>
      <c r="F182" s="10">
        <v>21180.812000000002</v>
      </c>
      <c r="G182" s="11">
        <f t="shared" si="22"/>
        <v>55143.755999999994</v>
      </c>
      <c r="H182" s="10">
        <v>99.501999999999995</v>
      </c>
      <c r="I182" s="10">
        <v>396.55700000000002</v>
      </c>
      <c r="J182" s="10">
        <v>5614.9</v>
      </c>
      <c r="K182" s="10">
        <v>6750.2089999999998</v>
      </c>
      <c r="L182" s="10">
        <v>1831.26</v>
      </c>
      <c r="M182" s="10">
        <v>13.766</v>
      </c>
      <c r="N182" s="10">
        <v>8500.1350000000002</v>
      </c>
      <c r="O182" s="10">
        <v>1667.68</v>
      </c>
      <c r="P182" s="11">
        <f t="shared" si="23"/>
        <v>24874.008999999998</v>
      </c>
    </row>
    <row r="183" spans="2:16" ht="34.9" hidden="1" customHeight="1">
      <c r="B183" s="14">
        <v>43040</v>
      </c>
      <c r="C183" s="6">
        <v>26081.027999999998</v>
      </c>
      <c r="D183" s="6">
        <v>5000.3090000000002</v>
      </c>
      <c r="E183" s="6">
        <v>18034.569</v>
      </c>
      <c r="F183" s="6">
        <v>16063.721</v>
      </c>
      <c r="G183" s="7">
        <f t="shared" si="22"/>
        <v>65179.627</v>
      </c>
      <c r="H183" s="6">
        <v>303.46199999999999</v>
      </c>
      <c r="I183" s="6">
        <v>335.45400000000001</v>
      </c>
      <c r="J183" s="6">
        <v>4391.1840000000002</v>
      </c>
      <c r="K183" s="6">
        <v>9863.7829999999994</v>
      </c>
      <c r="L183" s="6">
        <v>2359.8139999999999</v>
      </c>
      <c r="M183" s="6">
        <v>7.9580000000000002</v>
      </c>
      <c r="N183" s="6">
        <v>4609.3760000000002</v>
      </c>
      <c r="O183" s="6">
        <v>1696.5340000000001</v>
      </c>
      <c r="P183" s="7">
        <f t="shared" si="23"/>
        <v>23567.564999999999</v>
      </c>
    </row>
    <row r="184" spans="2:16" ht="34.9" hidden="1" customHeight="1">
      <c r="B184" s="15">
        <v>43070</v>
      </c>
      <c r="C184" s="10">
        <v>20796.111000000001</v>
      </c>
      <c r="D184" s="10">
        <v>2139.6709999999998</v>
      </c>
      <c r="E184" s="10">
        <v>17287.393</v>
      </c>
      <c r="F184" s="10">
        <v>19298.358</v>
      </c>
      <c r="G184" s="11">
        <f t="shared" si="22"/>
        <v>59521.533000000003</v>
      </c>
      <c r="H184" s="10">
        <v>427.83800000000002</v>
      </c>
      <c r="I184" s="10">
        <v>622.13</v>
      </c>
      <c r="J184" s="10">
        <v>1464.7670000000001</v>
      </c>
      <c r="K184" s="10">
        <v>4858.3230000000003</v>
      </c>
      <c r="L184" s="10">
        <v>1391.115</v>
      </c>
      <c r="M184" s="10">
        <v>7.87</v>
      </c>
      <c r="N184" s="10">
        <v>4571.6840000000002</v>
      </c>
      <c r="O184" s="10">
        <v>19082.249</v>
      </c>
      <c r="P184" s="11">
        <f t="shared" si="23"/>
        <v>32425.976000000002</v>
      </c>
    </row>
    <row r="185" spans="2:16" ht="34.9" hidden="1" customHeight="1">
      <c r="B185" s="3">
        <v>2018</v>
      </c>
      <c r="C185" s="12"/>
      <c r="D185" s="12"/>
      <c r="E185" s="12"/>
      <c r="F185" s="12"/>
      <c r="G185" s="13"/>
      <c r="H185" s="12"/>
      <c r="I185" s="12"/>
      <c r="J185" s="12"/>
      <c r="K185" s="12"/>
      <c r="L185" s="12"/>
      <c r="M185" s="12"/>
      <c r="N185" s="12"/>
      <c r="O185" s="12"/>
      <c r="P185" s="13"/>
    </row>
    <row r="186" spans="2:16" ht="34.9" hidden="1" customHeight="1">
      <c r="B186" s="14">
        <v>43101</v>
      </c>
      <c r="C186" s="6">
        <v>11289.754999999999</v>
      </c>
      <c r="D186" s="6">
        <v>1189.442</v>
      </c>
      <c r="E186" s="6">
        <v>12963.671</v>
      </c>
      <c r="F186" s="6">
        <v>31859.684000000001</v>
      </c>
      <c r="G186" s="7">
        <f t="shared" ref="G186:G197" si="24">SUM(C186:F186)</f>
        <v>57302.552000000003</v>
      </c>
      <c r="H186" s="6">
        <v>338.21800000000002</v>
      </c>
      <c r="I186" s="6">
        <v>444.01299999999998</v>
      </c>
      <c r="J186" s="6">
        <v>4276.4880000000003</v>
      </c>
      <c r="K186" s="6">
        <v>6024.0749999999998</v>
      </c>
      <c r="L186" s="6">
        <v>1215.164</v>
      </c>
      <c r="M186" s="6">
        <v>8.0540000000000003</v>
      </c>
      <c r="N186" s="6">
        <v>6167.4489999999996</v>
      </c>
      <c r="O186" s="6">
        <v>4109.9160000000002</v>
      </c>
      <c r="P186" s="7">
        <f t="shared" ref="P186:P197" si="25">SUM(H186:O186)</f>
        <v>22583.377</v>
      </c>
    </row>
    <row r="187" spans="2:16" ht="34.9" hidden="1" customHeight="1">
      <c r="B187" s="15">
        <v>43132</v>
      </c>
      <c r="C187" s="10">
        <v>47129.949000000001</v>
      </c>
      <c r="D187" s="10">
        <v>1107.502</v>
      </c>
      <c r="E187" s="10">
        <v>8968.4609999999993</v>
      </c>
      <c r="F187" s="10">
        <v>29162.541000000001</v>
      </c>
      <c r="G187" s="11">
        <f t="shared" si="24"/>
        <v>86368.452999999994</v>
      </c>
      <c r="H187" s="10">
        <v>468.98</v>
      </c>
      <c r="I187" s="10">
        <v>266.05700000000002</v>
      </c>
      <c r="J187" s="10">
        <v>1765.7180000000001</v>
      </c>
      <c r="K187" s="10">
        <v>5386.6689999999999</v>
      </c>
      <c r="L187" s="10">
        <v>1877.855</v>
      </c>
      <c r="M187" s="10">
        <v>8.9079999999999995</v>
      </c>
      <c r="N187" s="10">
        <v>7360.83</v>
      </c>
      <c r="O187" s="10">
        <v>2826.6610000000001</v>
      </c>
      <c r="P187" s="11">
        <f t="shared" si="25"/>
        <v>19961.678</v>
      </c>
    </row>
    <row r="188" spans="2:16" ht="34.9" hidden="1" customHeight="1">
      <c r="B188" s="14">
        <v>43160</v>
      </c>
      <c r="C188" s="6">
        <v>28127.856</v>
      </c>
      <c r="D188" s="6">
        <v>732.76199999999994</v>
      </c>
      <c r="E188" s="6">
        <v>18761.305</v>
      </c>
      <c r="F188" s="6">
        <v>22976.514999999999</v>
      </c>
      <c r="G188" s="7">
        <f t="shared" si="24"/>
        <v>70598.437999999995</v>
      </c>
      <c r="H188" s="6">
        <v>900.41099999999994</v>
      </c>
      <c r="I188" s="6">
        <v>308.18</v>
      </c>
      <c r="J188" s="6">
        <v>2928.0880000000002</v>
      </c>
      <c r="K188" s="6">
        <v>7463.5730000000003</v>
      </c>
      <c r="L188" s="6">
        <v>7814.741</v>
      </c>
      <c r="M188" s="6">
        <v>23.739000000000001</v>
      </c>
      <c r="N188" s="6">
        <v>4540.3940000000002</v>
      </c>
      <c r="O188" s="6">
        <v>2532.9650000000001</v>
      </c>
      <c r="P188" s="7">
        <f t="shared" si="25"/>
        <v>26512.091000000004</v>
      </c>
    </row>
    <row r="189" spans="2:16" ht="34.9" hidden="1" customHeight="1">
      <c r="B189" s="15">
        <v>43191</v>
      </c>
      <c r="C189" s="10">
        <v>37928.023999999998</v>
      </c>
      <c r="D189" s="10">
        <v>1357.5830000000001</v>
      </c>
      <c r="E189" s="10">
        <v>10969.867</v>
      </c>
      <c r="F189" s="10">
        <v>19962.197</v>
      </c>
      <c r="G189" s="11">
        <f t="shared" si="24"/>
        <v>70217.671000000002</v>
      </c>
      <c r="H189" s="10">
        <v>711.822</v>
      </c>
      <c r="I189" s="10">
        <v>275.471</v>
      </c>
      <c r="J189" s="10">
        <v>4371.1239999999998</v>
      </c>
      <c r="K189" s="10">
        <v>4824.0420000000004</v>
      </c>
      <c r="L189" s="10">
        <v>2517.5619999999999</v>
      </c>
      <c r="M189" s="10">
        <v>20.632000000000001</v>
      </c>
      <c r="N189" s="10">
        <v>9870.8970000000008</v>
      </c>
      <c r="O189" s="10">
        <v>2878.9589999999998</v>
      </c>
      <c r="P189" s="11">
        <f t="shared" si="25"/>
        <v>25470.508999999998</v>
      </c>
    </row>
    <row r="190" spans="2:16" ht="34.9" hidden="1" customHeight="1">
      <c r="B190" s="14">
        <v>43221</v>
      </c>
      <c r="C190" s="6">
        <v>39595.614000000001</v>
      </c>
      <c r="D190" s="6">
        <v>1167.8119999999999</v>
      </c>
      <c r="E190" s="6">
        <v>12112.245000000001</v>
      </c>
      <c r="F190" s="6">
        <v>19069.638999999999</v>
      </c>
      <c r="G190" s="7">
        <f t="shared" si="24"/>
        <v>71945.31</v>
      </c>
      <c r="H190" s="6">
        <v>907.53899999999999</v>
      </c>
      <c r="I190" s="6">
        <v>274.49400000000003</v>
      </c>
      <c r="J190" s="6">
        <v>4958.4409999999998</v>
      </c>
      <c r="K190" s="6">
        <v>5546.6149999999998</v>
      </c>
      <c r="L190" s="6">
        <v>1880.0139999999999</v>
      </c>
      <c r="M190" s="6">
        <v>0</v>
      </c>
      <c r="N190" s="6">
        <v>6067.6409999999996</v>
      </c>
      <c r="O190" s="6">
        <v>1612.327</v>
      </c>
      <c r="P190" s="7">
        <f t="shared" si="25"/>
        <v>21247.071</v>
      </c>
    </row>
    <row r="191" spans="2:16" ht="34.9" hidden="1" customHeight="1">
      <c r="B191" s="15">
        <v>43252</v>
      </c>
      <c r="C191" s="10">
        <v>17521.25</v>
      </c>
      <c r="D191" s="10">
        <v>965.09799999999996</v>
      </c>
      <c r="E191" s="10">
        <v>10074.138999999999</v>
      </c>
      <c r="F191" s="10">
        <v>19452.685000000001</v>
      </c>
      <c r="G191" s="11">
        <f t="shared" si="24"/>
        <v>48013.171999999999</v>
      </c>
      <c r="H191" s="10">
        <v>331.54700000000003</v>
      </c>
      <c r="I191" s="10">
        <v>187.328</v>
      </c>
      <c r="J191" s="10">
        <v>3588.8530000000001</v>
      </c>
      <c r="K191" s="10">
        <v>2942.4740000000002</v>
      </c>
      <c r="L191" s="10">
        <v>998.72400000000005</v>
      </c>
      <c r="M191" s="10">
        <v>0</v>
      </c>
      <c r="N191" s="10">
        <v>2879.6089999999999</v>
      </c>
      <c r="O191" s="10">
        <v>1130.2149999999999</v>
      </c>
      <c r="P191" s="11">
        <f t="shared" si="25"/>
        <v>12058.75</v>
      </c>
    </row>
    <row r="192" spans="2:16" ht="34.9" hidden="1" customHeight="1">
      <c r="B192" s="14">
        <v>43282</v>
      </c>
      <c r="C192" s="6">
        <v>48033.661</v>
      </c>
      <c r="D192" s="6">
        <v>2926.2429999999999</v>
      </c>
      <c r="E192" s="6">
        <v>9054.0709999999999</v>
      </c>
      <c r="F192" s="6">
        <v>17479.088</v>
      </c>
      <c r="G192" s="7">
        <f t="shared" si="24"/>
        <v>77493.063000000009</v>
      </c>
      <c r="H192" s="6">
        <v>1423.617</v>
      </c>
      <c r="I192" s="6">
        <v>817.77099999999996</v>
      </c>
      <c r="J192" s="6">
        <v>2362.3789999999999</v>
      </c>
      <c r="K192" s="6">
        <v>3630.2339999999999</v>
      </c>
      <c r="L192" s="6">
        <v>1221.3009999999999</v>
      </c>
      <c r="M192" s="6">
        <v>0</v>
      </c>
      <c r="N192" s="6">
        <v>3049.558</v>
      </c>
      <c r="O192" s="6">
        <v>3038.4789999999998</v>
      </c>
      <c r="P192" s="7">
        <f t="shared" si="25"/>
        <v>15543.339</v>
      </c>
    </row>
    <row r="193" spans="2:16" ht="34.9" hidden="1" customHeight="1">
      <c r="B193" s="15">
        <v>43313</v>
      </c>
      <c r="C193" s="10">
        <v>132145.288</v>
      </c>
      <c r="D193" s="10">
        <v>960.97699999999998</v>
      </c>
      <c r="E193" s="10">
        <v>10595.808999999999</v>
      </c>
      <c r="F193" s="10">
        <v>15994.968000000001</v>
      </c>
      <c r="G193" s="11">
        <f t="shared" si="24"/>
        <v>159697.04200000002</v>
      </c>
      <c r="H193" s="10">
        <v>486.32799999999997</v>
      </c>
      <c r="I193" s="10">
        <v>166.6</v>
      </c>
      <c r="J193" s="10">
        <v>1796.16</v>
      </c>
      <c r="K193" s="10">
        <v>1143.338</v>
      </c>
      <c r="L193" s="10">
        <v>945.30799999999999</v>
      </c>
      <c r="M193" s="10">
        <v>0</v>
      </c>
      <c r="N193" s="10">
        <v>2291.3139999999999</v>
      </c>
      <c r="O193" s="10">
        <v>1945.098</v>
      </c>
      <c r="P193" s="11">
        <f t="shared" si="25"/>
        <v>8774.1460000000006</v>
      </c>
    </row>
    <row r="194" spans="2:16" ht="34.9" hidden="1" customHeight="1">
      <c r="B194" s="14">
        <v>43344</v>
      </c>
      <c r="C194" s="6">
        <v>16762.862000000001</v>
      </c>
      <c r="D194" s="6">
        <v>3229.1419999999998</v>
      </c>
      <c r="E194" s="6">
        <v>11074.837</v>
      </c>
      <c r="F194" s="6">
        <v>20877.55</v>
      </c>
      <c r="G194" s="7">
        <f t="shared" si="24"/>
        <v>51944.391000000003</v>
      </c>
      <c r="H194" s="6">
        <v>284.22899999999998</v>
      </c>
      <c r="I194" s="6">
        <v>162.078</v>
      </c>
      <c r="J194" s="6">
        <v>3432.6909999999998</v>
      </c>
      <c r="K194" s="6">
        <v>1951.7</v>
      </c>
      <c r="L194" s="6">
        <v>474.32900000000001</v>
      </c>
      <c r="M194" s="6">
        <v>40.082999999999998</v>
      </c>
      <c r="N194" s="6">
        <v>3710.02</v>
      </c>
      <c r="O194" s="6">
        <v>1354.1759999999999</v>
      </c>
      <c r="P194" s="7">
        <f t="shared" si="25"/>
        <v>11409.305999999999</v>
      </c>
    </row>
    <row r="195" spans="2:16" ht="34.9" hidden="1" customHeight="1">
      <c r="B195" s="15">
        <v>43374</v>
      </c>
      <c r="C195" s="10">
        <v>17514.366000000002</v>
      </c>
      <c r="D195" s="10">
        <v>1559.2149999999999</v>
      </c>
      <c r="E195" s="10">
        <v>13201.73</v>
      </c>
      <c r="F195" s="10">
        <v>35291.913999999997</v>
      </c>
      <c r="G195" s="11">
        <f t="shared" si="24"/>
        <v>67567.225000000006</v>
      </c>
      <c r="H195" s="10">
        <v>123.93600000000001</v>
      </c>
      <c r="I195" s="10">
        <v>10237.796</v>
      </c>
      <c r="J195" s="10">
        <v>3165.92</v>
      </c>
      <c r="K195" s="10">
        <v>3180.6439999999998</v>
      </c>
      <c r="L195" s="10">
        <v>1046.461</v>
      </c>
      <c r="M195" s="10">
        <v>12.170999999999999</v>
      </c>
      <c r="N195" s="10">
        <v>4373.8</v>
      </c>
      <c r="O195" s="10">
        <v>10901.909</v>
      </c>
      <c r="P195" s="11">
        <f t="shared" si="25"/>
        <v>33042.636999999995</v>
      </c>
    </row>
    <row r="196" spans="2:16" ht="34.9" hidden="1" customHeight="1">
      <c r="B196" s="14">
        <v>43405</v>
      </c>
      <c r="C196" s="6">
        <v>28108.321</v>
      </c>
      <c r="D196" s="6">
        <v>2287.3290000000002</v>
      </c>
      <c r="E196" s="6">
        <v>9653.5139999999992</v>
      </c>
      <c r="F196" s="6">
        <v>23649.931</v>
      </c>
      <c r="G196" s="7">
        <f t="shared" si="24"/>
        <v>63699.095000000001</v>
      </c>
      <c r="H196" s="6">
        <v>587.31700000000001</v>
      </c>
      <c r="I196" s="6">
        <v>85.808000000000007</v>
      </c>
      <c r="J196" s="6">
        <v>3411.16</v>
      </c>
      <c r="K196" s="6">
        <v>3823.0680000000002</v>
      </c>
      <c r="L196" s="6">
        <v>598.21199999999999</v>
      </c>
      <c r="M196" s="6">
        <v>15.715</v>
      </c>
      <c r="N196" s="6">
        <v>4705.4229999999998</v>
      </c>
      <c r="O196" s="6">
        <v>2419.703</v>
      </c>
      <c r="P196" s="7">
        <f t="shared" si="25"/>
        <v>15646.406000000001</v>
      </c>
    </row>
    <row r="197" spans="2:16" ht="34.9" hidden="1" customHeight="1">
      <c r="B197" s="15">
        <v>43435</v>
      </c>
      <c r="C197" s="10">
        <v>234969.473</v>
      </c>
      <c r="D197" s="10">
        <v>1892.857</v>
      </c>
      <c r="E197" s="10">
        <v>11825.716</v>
      </c>
      <c r="F197" s="10">
        <v>26471.107</v>
      </c>
      <c r="G197" s="11">
        <f t="shared" si="24"/>
        <v>275159.15299999999</v>
      </c>
      <c r="H197" s="10">
        <v>133.17400000000001</v>
      </c>
      <c r="I197" s="10">
        <v>74.688000000000002</v>
      </c>
      <c r="J197" s="10">
        <v>2252.7040000000002</v>
      </c>
      <c r="K197" s="10">
        <v>3836.9630000000002</v>
      </c>
      <c r="L197" s="10">
        <v>1001.979</v>
      </c>
      <c r="M197" s="10">
        <v>10.073</v>
      </c>
      <c r="N197" s="10">
        <v>6787.0969999999998</v>
      </c>
      <c r="O197" s="10">
        <v>4685.299</v>
      </c>
      <c r="P197" s="11">
        <f t="shared" si="25"/>
        <v>18781.976999999999</v>
      </c>
    </row>
    <row r="198" spans="2:16" ht="34.9" hidden="1" customHeight="1">
      <c r="B198" s="3">
        <v>2019</v>
      </c>
      <c r="C198" s="12"/>
      <c r="D198" s="12"/>
      <c r="E198" s="12"/>
      <c r="F198" s="12"/>
      <c r="G198" s="13"/>
      <c r="H198" s="12"/>
      <c r="I198" s="12"/>
      <c r="J198" s="12"/>
      <c r="K198" s="12"/>
      <c r="L198" s="12"/>
      <c r="M198" s="12"/>
      <c r="N198" s="12"/>
      <c r="O198" s="12"/>
      <c r="P198" s="13"/>
    </row>
    <row r="199" spans="2:16" ht="34.9" hidden="1" customHeight="1">
      <c r="B199" s="14">
        <v>43466</v>
      </c>
      <c r="C199" s="6">
        <v>12500.062</v>
      </c>
      <c r="D199" s="6">
        <v>315.09300000000002</v>
      </c>
      <c r="E199" s="6">
        <v>13412.959000000001</v>
      </c>
      <c r="F199" s="6">
        <v>17946.885999999999</v>
      </c>
      <c r="G199" s="7">
        <f t="shared" ref="G199:G210" si="26">SUM(C199:F199)</f>
        <v>44175</v>
      </c>
      <c r="H199" s="6">
        <v>154.13999999999999</v>
      </c>
      <c r="I199" s="6">
        <v>1180.1510000000001</v>
      </c>
      <c r="J199" s="6">
        <v>1110.847</v>
      </c>
      <c r="K199" s="6">
        <v>4032.491</v>
      </c>
      <c r="L199" s="6">
        <v>457.35300000000001</v>
      </c>
      <c r="M199" s="6">
        <v>14.568</v>
      </c>
      <c r="N199" s="6">
        <v>5558.9350000000004</v>
      </c>
      <c r="O199" s="6">
        <v>2919.3119999999999</v>
      </c>
      <c r="P199" s="7">
        <f t="shared" ref="P199:P210" si="27">SUM(H199:O199)</f>
        <v>15427.797</v>
      </c>
    </row>
    <row r="200" spans="2:16" ht="34.9" hidden="1" customHeight="1">
      <c r="B200" s="15">
        <v>43497</v>
      </c>
      <c r="C200" s="10">
        <v>33821.319000000003</v>
      </c>
      <c r="D200" s="10">
        <v>454.673</v>
      </c>
      <c r="E200" s="10">
        <v>12010.481</v>
      </c>
      <c r="F200" s="10">
        <v>25112.316999999999</v>
      </c>
      <c r="G200" s="11">
        <f t="shared" si="26"/>
        <v>71398.790000000008</v>
      </c>
      <c r="H200" s="10">
        <v>119.07</v>
      </c>
      <c r="I200" s="10">
        <v>247.89599999999999</v>
      </c>
      <c r="J200" s="10">
        <v>869.24599999999998</v>
      </c>
      <c r="K200" s="10">
        <v>3778.0680000000002</v>
      </c>
      <c r="L200" s="10">
        <v>772.59400000000005</v>
      </c>
      <c r="M200" s="10">
        <v>7.9359999999999999</v>
      </c>
      <c r="N200" s="10">
        <v>5103.723</v>
      </c>
      <c r="O200" s="10">
        <v>4675.7550000000001</v>
      </c>
      <c r="P200" s="11">
        <f t="shared" si="27"/>
        <v>15574.288</v>
      </c>
    </row>
    <row r="201" spans="2:16" ht="34.9" hidden="1" customHeight="1">
      <c r="B201" s="14">
        <v>43525</v>
      </c>
      <c r="C201" s="6">
        <v>93256.103000000003</v>
      </c>
      <c r="D201" s="6">
        <v>1487.9269999999999</v>
      </c>
      <c r="E201" s="6">
        <v>13812.097</v>
      </c>
      <c r="F201" s="6">
        <v>24818.057000000001</v>
      </c>
      <c r="G201" s="7">
        <f t="shared" si="26"/>
        <v>133374.18400000001</v>
      </c>
      <c r="H201" s="6">
        <v>81.364000000000004</v>
      </c>
      <c r="I201" s="6">
        <v>331.89600000000002</v>
      </c>
      <c r="J201" s="6">
        <v>1346.633</v>
      </c>
      <c r="K201" s="6">
        <v>3476.5340000000001</v>
      </c>
      <c r="L201" s="6">
        <v>1340.5229999999999</v>
      </c>
      <c r="M201" s="6">
        <v>6.8250000000000002</v>
      </c>
      <c r="N201" s="6">
        <v>5100.7190000000001</v>
      </c>
      <c r="O201" s="6">
        <v>3561.1860000000001</v>
      </c>
      <c r="P201" s="7">
        <f t="shared" si="27"/>
        <v>15245.679999999998</v>
      </c>
    </row>
    <row r="202" spans="2:16" ht="34.9" hidden="1" customHeight="1">
      <c r="B202" s="15">
        <v>43556</v>
      </c>
      <c r="C202" s="10">
        <v>20492.023000000001</v>
      </c>
      <c r="D202" s="10">
        <v>423.46100000000001</v>
      </c>
      <c r="E202" s="10">
        <v>11610.587</v>
      </c>
      <c r="F202" s="10">
        <v>24593.455000000002</v>
      </c>
      <c r="G202" s="11">
        <f t="shared" si="26"/>
        <v>57119.525999999998</v>
      </c>
      <c r="H202" s="10">
        <v>82.465000000000003</v>
      </c>
      <c r="I202" s="10">
        <v>579.00099999999998</v>
      </c>
      <c r="J202" s="10">
        <v>751.06</v>
      </c>
      <c r="K202" s="10">
        <v>2711.33</v>
      </c>
      <c r="L202" s="10">
        <v>697.13400000000001</v>
      </c>
      <c r="M202" s="10">
        <v>5.4770000000000003</v>
      </c>
      <c r="N202" s="10">
        <v>8273.7340000000004</v>
      </c>
      <c r="O202" s="10">
        <v>13992.269</v>
      </c>
      <c r="P202" s="11">
        <f t="shared" si="27"/>
        <v>27092.47</v>
      </c>
    </row>
    <row r="203" spans="2:16" ht="34.9" hidden="1" customHeight="1">
      <c r="B203" s="14">
        <v>43586</v>
      </c>
      <c r="C203" s="6">
        <v>12709.887000000001</v>
      </c>
      <c r="D203" s="6">
        <v>736.18600000000004</v>
      </c>
      <c r="E203" s="6">
        <v>9912.9590000000007</v>
      </c>
      <c r="F203" s="6">
        <v>23819.812000000002</v>
      </c>
      <c r="G203" s="7">
        <f t="shared" si="26"/>
        <v>47178.843999999997</v>
      </c>
      <c r="H203" s="6">
        <v>36.250999999999998</v>
      </c>
      <c r="I203" s="6">
        <v>205.09800000000001</v>
      </c>
      <c r="J203" s="6">
        <v>647.02300000000002</v>
      </c>
      <c r="K203" s="6">
        <v>4445.4889999999996</v>
      </c>
      <c r="L203" s="6">
        <v>628.678</v>
      </c>
      <c r="M203" s="6">
        <v>0.21</v>
      </c>
      <c r="N203" s="6">
        <v>7422.4049999999997</v>
      </c>
      <c r="O203" s="6">
        <v>2793.9009999999998</v>
      </c>
      <c r="P203" s="7">
        <f t="shared" si="27"/>
        <v>16179.054999999998</v>
      </c>
    </row>
    <row r="204" spans="2:16" ht="34.9" hidden="1" customHeight="1">
      <c r="B204" s="15">
        <v>43617</v>
      </c>
      <c r="C204" s="10">
        <v>12410.695</v>
      </c>
      <c r="D204" s="10">
        <v>1166.902</v>
      </c>
      <c r="E204" s="10">
        <v>12225.708000000001</v>
      </c>
      <c r="F204" s="10">
        <v>26022.899000000001</v>
      </c>
      <c r="G204" s="11">
        <f t="shared" si="26"/>
        <v>51826.203999999998</v>
      </c>
      <c r="H204" s="10">
        <v>72.332999999999998</v>
      </c>
      <c r="I204" s="10">
        <v>198.703</v>
      </c>
      <c r="J204" s="10">
        <v>1514.268</v>
      </c>
      <c r="K204" s="10">
        <v>6867.8729999999996</v>
      </c>
      <c r="L204" s="10">
        <v>1058.873</v>
      </c>
      <c r="M204" s="10">
        <v>42.658999999999999</v>
      </c>
      <c r="N204" s="10">
        <v>10780.062</v>
      </c>
      <c r="O204" s="10">
        <v>568.92100000000005</v>
      </c>
      <c r="P204" s="11">
        <f t="shared" si="27"/>
        <v>21103.691999999999</v>
      </c>
    </row>
    <row r="205" spans="2:16" ht="34.9" hidden="1" customHeight="1">
      <c r="B205" s="14">
        <v>43647</v>
      </c>
      <c r="C205" s="6">
        <v>14498.117</v>
      </c>
      <c r="D205" s="6">
        <v>1302.5519999999999</v>
      </c>
      <c r="E205" s="6">
        <v>14201.096</v>
      </c>
      <c r="F205" s="6">
        <v>47304.688000000002</v>
      </c>
      <c r="G205" s="7">
        <f t="shared" si="26"/>
        <v>77306.453000000009</v>
      </c>
      <c r="H205" s="6">
        <v>105.396</v>
      </c>
      <c r="I205" s="6">
        <v>1449.798</v>
      </c>
      <c r="J205" s="6">
        <v>1883.39</v>
      </c>
      <c r="K205" s="6">
        <v>9484.5889999999999</v>
      </c>
      <c r="L205" s="6">
        <v>1659.085</v>
      </c>
      <c r="M205" s="6">
        <v>14.5</v>
      </c>
      <c r="N205" s="6">
        <v>19076.931</v>
      </c>
      <c r="O205" s="6">
        <v>3190.6179999999999</v>
      </c>
      <c r="P205" s="7">
        <f t="shared" si="27"/>
        <v>36864.307000000001</v>
      </c>
    </row>
    <row r="206" spans="2:16" ht="34.9" hidden="1" customHeight="1">
      <c r="B206" s="15">
        <v>43678</v>
      </c>
      <c r="C206" s="10">
        <v>32288.215</v>
      </c>
      <c r="D206" s="10">
        <v>186.70699999999999</v>
      </c>
      <c r="E206" s="10">
        <v>8546.8379999999997</v>
      </c>
      <c r="F206" s="10">
        <v>31635.781999999999</v>
      </c>
      <c r="G206" s="11">
        <f t="shared" si="26"/>
        <v>72657.541999999987</v>
      </c>
      <c r="H206" s="10">
        <v>1068.0899999999999</v>
      </c>
      <c r="I206" s="10">
        <v>188.874</v>
      </c>
      <c r="J206" s="10">
        <v>582.67600000000004</v>
      </c>
      <c r="K206" s="10">
        <v>4973.7529999999997</v>
      </c>
      <c r="L206" s="10">
        <v>548.25300000000004</v>
      </c>
      <c r="M206" s="10">
        <v>2.645</v>
      </c>
      <c r="N206" s="10">
        <v>6834.6790000000001</v>
      </c>
      <c r="O206" s="10">
        <v>2338.2489999999998</v>
      </c>
      <c r="P206" s="11">
        <f t="shared" si="27"/>
        <v>16537.219000000001</v>
      </c>
    </row>
    <row r="207" spans="2:16" ht="34.9" hidden="1" customHeight="1">
      <c r="B207" s="14">
        <v>43709</v>
      </c>
      <c r="C207" s="6">
        <v>25459.737000000001</v>
      </c>
      <c r="D207" s="6">
        <v>782.43</v>
      </c>
      <c r="E207" s="6">
        <v>19633.384999999998</v>
      </c>
      <c r="F207" s="6">
        <v>42339.252999999997</v>
      </c>
      <c r="G207" s="7">
        <f t="shared" si="26"/>
        <v>88214.804999999993</v>
      </c>
      <c r="H207" s="6">
        <v>379.19299999999998</v>
      </c>
      <c r="I207" s="6">
        <v>219.113</v>
      </c>
      <c r="J207" s="6">
        <v>21110.35</v>
      </c>
      <c r="K207" s="6">
        <v>7234.56</v>
      </c>
      <c r="L207" s="6">
        <v>3392.7170000000001</v>
      </c>
      <c r="M207" s="6">
        <v>7.53</v>
      </c>
      <c r="N207" s="6">
        <v>9554.8520000000008</v>
      </c>
      <c r="O207" s="6">
        <v>1030.1289999999999</v>
      </c>
      <c r="P207" s="7">
        <f t="shared" si="27"/>
        <v>42928.444000000003</v>
      </c>
    </row>
    <row r="208" spans="2:16" ht="34.9" hidden="1" customHeight="1">
      <c r="B208" s="15">
        <v>43739</v>
      </c>
      <c r="C208" s="10">
        <v>177127.90700000001</v>
      </c>
      <c r="D208" s="10">
        <v>680.577</v>
      </c>
      <c r="E208" s="10">
        <v>14299.423000000001</v>
      </c>
      <c r="F208" s="10">
        <v>24994.138999999999</v>
      </c>
      <c r="G208" s="11">
        <f t="shared" si="26"/>
        <v>217102.046</v>
      </c>
      <c r="H208" s="10">
        <v>320.37400000000002</v>
      </c>
      <c r="I208" s="10">
        <v>272.56900000000002</v>
      </c>
      <c r="J208" s="10">
        <v>651.83600000000001</v>
      </c>
      <c r="K208" s="10">
        <v>5803.5969999999998</v>
      </c>
      <c r="L208" s="10">
        <v>2748.0749999999998</v>
      </c>
      <c r="M208" s="10">
        <v>6.0819999999999999</v>
      </c>
      <c r="N208" s="10">
        <v>10189.304</v>
      </c>
      <c r="O208" s="10">
        <v>922.10799999999995</v>
      </c>
      <c r="P208" s="11">
        <f t="shared" si="27"/>
        <v>20913.945</v>
      </c>
    </row>
    <row r="209" spans="2:16" ht="34.9" hidden="1" customHeight="1">
      <c r="B209" s="14">
        <v>43770</v>
      </c>
      <c r="C209" s="6">
        <v>19644.006000000001</v>
      </c>
      <c r="D209" s="6">
        <v>3090.125</v>
      </c>
      <c r="E209" s="6">
        <v>11026.244000000001</v>
      </c>
      <c r="F209" s="6">
        <v>19815.7</v>
      </c>
      <c r="G209" s="7">
        <f t="shared" si="26"/>
        <v>53576.074999999997</v>
      </c>
      <c r="H209" s="6">
        <v>401.66800000000001</v>
      </c>
      <c r="I209" s="6">
        <v>143.46100000000001</v>
      </c>
      <c r="J209" s="6">
        <v>1553.865</v>
      </c>
      <c r="K209" s="6">
        <v>4019.0540000000001</v>
      </c>
      <c r="L209" s="6">
        <v>195.43700000000001</v>
      </c>
      <c r="M209" s="6">
        <v>4.7130000000000001</v>
      </c>
      <c r="N209" s="6">
        <v>9036.9979999999996</v>
      </c>
      <c r="O209" s="6">
        <v>1439.779</v>
      </c>
      <c r="P209" s="7">
        <f t="shared" si="27"/>
        <v>16794.974999999999</v>
      </c>
    </row>
    <row r="210" spans="2:16" ht="34.9" hidden="1" customHeight="1">
      <c r="B210" s="15">
        <v>43800</v>
      </c>
      <c r="C210" s="10">
        <v>74117.013999999996</v>
      </c>
      <c r="D210" s="10">
        <v>11351.587</v>
      </c>
      <c r="E210" s="10">
        <v>14266.960999999999</v>
      </c>
      <c r="F210" s="10">
        <v>25734.909</v>
      </c>
      <c r="G210" s="11">
        <f t="shared" si="26"/>
        <v>125470.47099999999</v>
      </c>
      <c r="H210" s="10">
        <v>410.61700000000002</v>
      </c>
      <c r="I210" s="10">
        <v>244.87200000000001</v>
      </c>
      <c r="J210" s="10">
        <v>781.495</v>
      </c>
      <c r="K210" s="10">
        <v>4375.0529999999999</v>
      </c>
      <c r="L210" s="10">
        <v>561.27599999999995</v>
      </c>
      <c r="M210" s="10">
        <v>33.734999999999999</v>
      </c>
      <c r="N210" s="10">
        <v>4972.3890000000001</v>
      </c>
      <c r="O210" s="10">
        <v>631.65800000000002</v>
      </c>
      <c r="P210" s="11">
        <f t="shared" si="27"/>
        <v>12011.094999999999</v>
      </c>
    </row>
    <row r="211" spans="2:16" ht="34.9" hidden="1" customHeight="1">
      <c r="B211" s="3">
        <v>2020</v>
      </c>
      <c r="C211" s="12"/>
      <c r="D211" s="12"/>
      <c r="E211" s="12"/>
      <c r="F211" s="12"/>
      <c r="G211" s="13"/>
      <c r="H211" s="12"/>
      <c r="I211" s="12"/>
      <c r="J211" s="12"/>
      <c r="K211" s="12"/>
      <c r="L211" s="12"/>
      <c r="M211" s="12"/>
      <c r="N211" s="12"/>
      <c r="O211" s="12"/>
      <c r="P211" s="13"/>
    </row>
    <row r="212" spans="2:16" ht="34.9" hidden="1" customHeight="1">
      <c r="B212" s="14">
        <v>43831</v>
      </c>
      <c r="C212" s="6">
        <v>26464.452000000001</v>
      </c>
      <c r="D212" s="6">
        <v>2424.4340000000002</v>
      </c>
      <c r="E212" s="6">
        <v>10574.268</v>
      </c>
      <c r="F212" s="6">
        <v>34831.576999999997</v>
      </c>
      <c r="G212" s="7">
        <f t="shared" ref="G212:G222" si="28">SUM(C212:F212)</f>
        <v>74294.731</v>
      </c>
      <c r="H212" s="6">
        <v>215.923</v>
      </c>
      <c r="I212" s="6">
        <v>198.90199999999999</v>
      </c>
      <c r="J212" s="6">
        <v>492.24200000000002</v>
      </c>
      <c r="K212" s="6">
        <v>4031.1889999999999</v>
      </c>
      <c r="L212" s="6">
        <v>363.702</v>
      </c>
      <c r="M212" s="6">
        <v>20.611999999999998</v>
      </c>
      <c r="N212" s="6">
        <v>11673.561</v>
      </c>
      <c r="O212" s="6">
        <v>857.44399999999996</v>
      </c>
      <c r="P212" s="7">
        <f t="shared" ref="P212:P222" si="29">SUM(H212:O212)</f>
        <v>17853.575000000001</v>
      </c>
    </row>
    <row r="213" spans="2:16" ht="34.9" hidden="1" customHeight="1">
      <c r="B213" s="15">
        <v>43862</v>
      </c>
      <c r="C213" s="10">
        <v>46612.800999999999</v>
      </c>
      <c r="D213" s="10">
        <v>618.30399999999997</v>
      </c>
      <c r="E213" s="10">
        <v>15056.762000000001</v>
      </c>
      <c r="F213" s="10">
        <v>21315.659</v>
      </c>
      <c r="G213" s="11">
        <f t="shared" si="28"/>
        <v>83603.525999999998</v>
      </c>
      <c r="H213" s="10">
        <v>306.548</v>
      </c>
      <c r="I213" s="10">
        <v>77.795000000000002</v>
      </c>
      <c r="J213" s="10">
        <v>1628.6780000000001</v>
      </c>
      <c r="K213" s="10">
        <v>5922.299</v>
      </c>
      <c r="L213" s="10">
        <v>344.541</v>
      </c>
      <c r="M213" s="10">
        <v>5.13</v>
      </c>
      <c r="N213" s="10">
        <v>9577.8860000000004</v>
      </c>
      <c r="O213" s="10">
        <v>3216.9369999999999</v>
      </c>
      <c r="P213" s="11">
        <f t="shared" si="29"/>
        <v>21079.813999999998</v>
      </c>
    </row>
    <row r="214" spans="2:16" ht="34.9" hidden="1" customHeight="1">
      <c r="B214" s="14" t="s">
        <v>129</v>
      </c>
      <c r="C214" s="6">
        <v>13553.99</v>
      </c>
      <c r="D214" s="6">
        <v>1018.7809999999999</v>
      </c>
      <c r="E214" s="6">
        <v>7817.527</v>
      </c>
      <c r="F214" s="6">
        <v>9082.6010000000006</v>
      </c>
      <c r="G214" s="7">
        <f t="shared" si="28"/>
        <v>31472.899000000005</v>
      </c>
      <c r="H214" s="6">
        <v>40.284999999999997</v>
      </c>
      <c r="I214" s="6">
        <v>47.27</v>
      </c>
      <c r="J214" s="6">
        <v>396.27600000000001</v>
      </c>
      <c r="K214" s="6">
        <v>1777.02</v>
      </c>
      <c r="L214" s="6">
        <v>128.494</v>
      </c>
      <c r="M214" s="6">
        <v>9.1349999999999998</v>
      </c>
      <c r="N214" s="6">
        <v>8046.6210000000001</v>
      </c>
      <c r="O214" s="6">
        <v>2435.1019999999999</v>
      </c>
      <c r="P214" s="7">
        <f t="shared" si="29"/>
        <v>12880.203000000001</v>
      </c>
    </row>
    <row r="215" spans="2:16" ht="34.9" hidden="1" customHeight="1">
      <c r="B215" s="15">
        <v>43952</v>
      </c>
      <c r="C215" s="10">
        <v>15005.725</v>
      </c>
      <c r="D215" s="10">
        <v>187.01400000000001</v>
      </c>
      <c r="E215" s="10">
        <v>701.98900000000003</v>
      </c>
      <c r="F215" s="10">
        <v>3731.6149999999998</v>
      </c>
      <c r="G215" s="11">
        <f t="shared" si="28"/>
        <v>19626.343000000001</v>
      </c>
      <c r="H215" s="10">
        <v>11.266</v>
      </c>
      <c r="I215" s="10">
        <v>18.936</v>
      </c>
      <c r="J215" s="10">
        <v>139.06399999999999</v>
      </c>
      <c r="K215" s="10">
        <v>485.92899999999997</v>
      </c>
      <c r="L215" s="10">
        <v>97.509</v>
      </c>
      <c r="M215" s="10">
        <v>0.26400000000000001</v>
      </c>
      <c r="N215" s="10">
        <v>4440.1859999999997</v>
      </c>
      <c r="O215" s="10">
        <v>1147.078</v>
      </c>
      <c r="P215" s="11">
        <f t="shared" si="29"/>
        <v>6340.232</v>
      </c>
    </row>
    <row r="216" spans="2:16" ht="34.9" hidden="1" customHeight="1">
      <c r="B216" s="14">
        <v>43983</v>
      </c>
      <c r="C216" s="6">
        <v>17643.964</v>
      </c>
      <c r="D216" s="6">
        <v>549.851</v>
      </c>
      <c r="E216" s="6">
        <v>16217.937</v>
      </c>
      <c r="F216" s="6">
        <v>20123.612000000001</v>
      </c>
      <c r="G216" s="7">
        <f t="shared" si="28"/>
        <v>54535.364000000001</v>
      </c>
      <c r="H216" s="6">
        <v>100.599</v>
      </c>
      <c r="I216" s="6">
        <v>185.43199999999999</v>
      </c>
      <c r="J216" s="6">
        <v>346.428</v>
      </c>
      <c r="K216" s="6">
        <v>3220.9630000000002</v>
      </c>
      <c r="L216" s="6">
        <v>319.06799999999998</v>
      </c>
      <c r="M216" s="6">
        <v>3.5049999999999999</v>
      </c>
      <c r="N216" s="6">
        <v>21688.221000000001</v>
      </c>
      <c r="O216" s="6">
        <v>4035.0810000000001</v>
      </c>
      <c r="P216" s="7">
        <f t="shared" si="29"/>
        <v>29899.296999999999</v>
      </c>
    </row>
    <row r="217" spans="2:16" ht="34.9" hidden="1" customHeight="1">
      <c r="B217" s="15">
        <v>44013</v>
      </c>
      <c r="C217" s="10">
        <v>35925.828999999998</v>
      </c>
      <c r="D217" s="10">
        <v>447.084</v>
      </c>
      <c r="E217" s="10">
        <v>13420.981</v>
      </c>
      <c r="F217" s="10">
        <v>21080.197</v>
      </c>
      <c r="G217" s="11">
        <f t="shared" si="28"/>
        <v>70874.091</v>
      </c>
      <c r="H217" s="10">
        <v>22.279</v>
      </c>
      <c r="I217" s="10">
        <v>208.14099999999999</v>
      </c>
      <c r="J217" s="10">
        <v>324.70999999999998</v>
      </c>
      <c r="K217" s="10">
        <v>1419.26</v>
      </c>
      <c r="L217" s="10">
        <v>215.88</v>
      </c>
      <c r="M217" s="10">
        <v>4.6870000000000003</v>
      </c>
      <c r="N217" s="10">
        <v>11527.677</v>
      </c>
      <c r="O217" s="10">
        <v>5524.6260000000002</v>
      </c>
      <c r="P217" s="11">
        <f t="shared" si="29"/>
        <v>19247.260000000002</v>
      </c>
    </row>
    <row r="218" spans="2:16" ht="34.9" hidden="1" customHeight="1">
      <c r="B218" s="14">
        <v>44044</v>
      </c>
      <c r="C218" s="6">
        <v>10848.746999999999</v>
      </c>
      <c r="D218" s="6">
        <v>6976.6719999999996</v>
      </c>
      <c r="E218" s="6">
        <v>19646.348999999998</v>
      </c>
      <c r="F218" s="6">
        <v>21992.059000000001</v>
      </c>
      <c r="G218" s="7">
        <f t="shared" si="28"/>
        <v>59463.826999999997</v>
      </c>
      <c r="H218" s="6">
        <v>19.521999999999998</v>
      </c>
      <c r="I218" s="6">
        <v>695.56899999999996</v>
      </c>
      <c r="J218" s="6">
        <v>1604.5609999999999</v>
      </c>
      <c r="K218" s="6">
        <v>3206.0889999999999</v>
      </c>
      <c r="L218" s="6">
        <v>1189.383</v>
      </c>
      <c r="M218" s="6">
        <v>2.19</v>
      </c>
      <c r="N218" s="6">
        <v>5831.3630000000003</v>
      </c>
      <c r="O218" s="6">
        <v>2369.6680000000001</v>
      </c>
      <c r="P218" s="7">
        <f t="shared" si="29"/>
        <v>14918.344999999999</v>
      </c>
    </row>
    <row r="219" spans="2:16" ht="34.9" hidden="1" customHeight="1">
      <c r="B219" s="15">
        <v>44075</v>
      </c>
      <c r="C219" s="10">
        <v>12553.915999999999</v>
      </c>
      <c r="D219" s="10">
        <v>1785.2360000000001</v>
      </c>
      <c r="E219" s="10">
        <v>17013.59</v>
      </c>
      <c r="F219" s="10">
        <v>21523.838</v>
      </c>
      <c r="G219" s="11">
        <f t="shared" si="28"/>
        <v>52876.58</v>
      </c>
      <c r="H219" s="10">
        <v>67.411000000000001</v>
      </c>
      <c r="I219" s="10">
        <v>407.76400000000001</v>
      </c>
      <c r="J219" s="10">
        <v>3163.7919999999999</v>
      </c>
      <c r="K219" s="10">
        <v>6539.5069999999996</v>
      </c>
      <c r="L219" s="10">
        <v>1979.2</v>
      </c>
      <c r="M219" s="10">
        <v>0</v>
      </c>
      <c r="N219" s="10">
        <v>10865.485000000001</v>
      </c>
      <c r="O219" s="10">
        <v>4839.5029999999997</v>
      </c>
      <c r="P219" s="11">
        <f t="shared" si="29"/>
        <v>27862.662</v>
      </c>
    </row>
    <row r="220" spans="2:16" ht="34.9" hidden="1" customHeight="1">
      <c r="B220" s="14">
        <v>44105</v>
      </c>
      <c r="C220" s="6">
        <v>7460.5349999999999</v>
      </c>
      <c r="D220" s="6">
        <v>1998.8389999999999</v>
      </c>
      <c r="E220" s="6">
        <v>15453.587</v>
      </c>
      <c r="F220" s="6">
        <v>18228.812999999998</v>
      </c>
      <c r="G220" s="7">
        <f t="shared" si="28"/>
        <v>43141.773999999998</v>
      </c>
      <c r="H220" s="6">
        <v>41.658000000000001</v>
      </c>
      <c r="I220" s="6">
        <v>253.809</v>
      </c>
      <c r="J220" s="6">
        <v>1044.8430000000001</v>
      </c>
      <c r="K220" s="6">
        <v>5190.3580000000002</v>
      </c>
      <c r="L220" s="6">
        <v>792.99900000000002</v>
      </c>
      <c r="M220" s="6">
        <v>0</v>
      </c>
      <c r="N220" s="6">
        <v>8162.9949999999999</v>
      </c>
      <c r="O220" s="6">
        <v>2603.299</v>
      </c>
      <c r="P220" s="7">
        <f t="shared" si="29"/>
        <v>18089.960999999999</v>
      </c>
    </row>
    <row r="221" spans="2:16" ht="34.9" hidden="1" customHeight="1">
      <c r="B221" s="15">
        <v>44136</v>
      </c>
      <c r="C221" s="10">
        <v>8526.6929999999993</v>
      </c>
      <c r="D221" s="10">
        <v>4776.9449999999997</v>
      </c>
      <c r="E221" s="10">
        <v>10803.668</v>
      </c>
      <c r="F221" s="10">
        <v>15632.237999999999</v>
      </c>
      <c r="G221" s="11">
        <f t="shared" si="28"/>
        <v>39739.543999999994</v>
      </c>
      <c r="H221" s="10">
        <v>90.385000000000005</v>
      </c>
      <c r="I221" s="10">
        <v>189.12299999999999</v>
      </c>
      <c r="J221" s="10">
        <v>767.82</v>
      </c>
      <c r="K221" s="10">
        <v>3810.1619999999998</v>
      </c>
      <c r="L221" s="10">
        <v>936.19399999999996</v>
      </c>
      <c r="M221" s="10">
        <v>0</v>
      </c>
      <c r="N221" s="10">
        <v>5140.0969999999998</v>
      </c>
      <c r="O221" s="10">
        <v>5218.7209999999995</v>
      </c>
      <c r="P221" s="11">
        <f t="shared" si="29"/>
        <v>16152.501999999999</v>
      </c>
    </row>
    <row r="222" spans="2:16" ht="34.9" hidden="1" customHeight="1">
      <c r="B222" s="14">
        <v>44166</v>
      </c>
      <c r="C222" s="6">
        <v>29144.672999999999</v>
      </c>
      <c r="D222" s="6">
        <v>8600.4359999999997</v>
      </c>
      <c r="E222" s="6">
        <v>19919.427</v>
      </c>
      <c r="F222" s="6">
        <v>68774.627999999997</v>
      </c>
      <c r="G222" s="7">
        <f t="shared" si="28"/>
        <v>126439.16399999999</v>
      </c>
      <c r="H222" s="6">
        <v>410.73099999999999</v>
      </c>
      <c r="I222" s="6">
        <v>480.90499999999997</v>
      </c>
      <c r="J222" s="6">
        <v>783.48199999999997</v>
      </c>
      <c r="K222" s="6">
        <v>5818.1580000000004</v>
      </c>
      <c r="L222" s="6">
        <v>766.90899999999999</v>
      </c>
      <c r="M222" s="6">
        <v>0</v>
      </c>
      <c r="N222" s="6">
        <v>7278.232</v>
      </c>
      <c r="O222" s="6">
        <v>10578.227000000001</v>
      </c>
      <c r="P222" s="7">
        <f t="shared" si="29"/>
        <v>26116.644</v>
      </c>
    </row>
    <row r="223" spans="2:16" ht="34.9" hidden="1" customHeight="1">
      <c r="B223" s="3">
        <v>2021</v>
      </c>
      <c r="C223" s="12"/>
      <c r="D223" s="12"/>
      <c r="E223" s="12"/>
      <c r="F223" s="12"/>
      <c r="G223" s="13"/>
      <c r="H223" s="12"/>
      <c r="I223" s="12"/>
      <c r="J223" s="12"/>
      <c r="K223" s="12"/>
      <c r="L223" s="12"/>
      <c r="M223" s="12"/>
      <c r="N223" s="12"/>
      <c r="O223" s="12"/>
      <c r="P223" s="13"/>
    </row>
    <row r="224" spans="2:16" ht="34.9" hidden="1" customHeight="1">
      <c r="B224" s="14">
        <v>44197</v>
      </c>
      <c r="C224" s="6">
        <v>77230.975999999995</v>
      </c>
      <c r="D224" s="6">
        <v>2784.6219999999998</v>
      </c>
      <c r="E224" s="6">
        <v>15214.93</v>
      </c>
      <c r="F224" s="6">
        <v>51450.77</v>
      </c>
      <c r="G224" s="7">
        <f t="shared" ref="G224:G235" si="30">SUM(C224:F224)</f>
        <v>146681.29799999998</v>
      </c>
      <c r="H224" s="6">
        <v>44.136000000000003</v>
      </c>
      <c r="I224" s="6">
        <v>138.09800000000001</v>
      </c>
      <c r="J224" s="6">
        <v>477.12599999999998</v>
      </c>
      <c r="K224" s="6">
        <v>7209.0929999999998</v>
      </c>
      <c r="L224" s="6">
        <v>3335.7779999999998</v>
      </c>
      <c r="M224" s="6">
        <v>0</v>
      </c>
      <c r="N224" s="6">
        <v>10460.587</v>
      </c>
      <c r="O224" s="6">
        <v>13918.133</v>
      </c>
      <c r="P224" s="7">
        <f t="shared" ref="P224:P235" si="31">SUM(H224:O224)</f>
        <v>35582.951000000001</v>
      </c>
    </row>
    <row r="225" spans="2:16" ht="34.9" hidden="1" customHeight="1">
      <c r="B225" s="15">
        <v>44228</v>
      </c>
      <c r="C225" s="10">
        <v>21340.891</v>
      </c>
      <c r="D225" s="10">
        <v>1698.078</v>
      </c>
      <c r="E225" s="10">
        <v>7754.433</v>
      </c>
      <c r="F225" s="10">
        <v>26902.331999999999</v>
      </c>
      <c r="G225" s="11">
        <f t="shared" si="30"/>
        <v>57695.733999999997</v>
      </c>
      <c r="H225" s="10">
        <v>5.7949999999999999</v>
      </c>
      <c r="I225" s="10">
        <v>135.58500000000001</v>
      </c>
      <c r="J225" s="10">
        <v>188.983</v>
      </c>
      <c r="K225" s="10">
        <v>9334.3970000000008</v>
      </c>
      <c r="L225" s="10">
        <v>417.98200000000003</v>
      </c>
      <c r="M225" s="10">
        <v>0</v>
      </c>
      <c r="N225" s="10">
        <v>20938.831999999999</v>
      </c>
      <c r="O225" s="10">
        <v>11886.665999999999</v>
      </c>
      <c r="P225" s="11">
        <f t="shared" si="31"/>
        <v>42908.24</v>
      </c>
    </row>
    <row r="226" spans="2:16" ht="34.9" hidden="1" customHeight="1">
      <c r="B226" s="14">
        <v>44256</v>
      </c>
      <c r="C226" s="6">
        <v>17102.469000000001</v>
      </c>
      <c r="D226" s="6">
        <v>7032.6059999999998</v>
      </c>
      <c r="E226" s="6">
        <v>12796.605</v>
      </c>
      <c r="F226" s="6">
        <v>27322.803</v>
      </c>
      <c r="G226" s="7">
        <f t="shared" si="30"/>
        <v>64254.483</v>
      </c>
      <c r="H226" s="6">
        <v>25.532</v>
      </c>
      <c r="I226" s="6">
        <v>5901.7849999999999</v>
      </c>
      <c r="J226" s="6">
        <v>724.01800000000003</v>
      </c>
      <c r="K226" s="6">
        <v>9743.5910000000003</v>
      </c>
      <c r="L226" s="6">
        <v>1481.2760000000001</v>
      </c>
      <c r="M226" s="6">
        <v>0</v>
      </c>
      <c r="N226" s="6">
        <v>22664.06</v>
      </c>
      <c r="O226" s="6">
        <v>13711.721</v>
      </c>
      <c r="P226" s="7">
        <f t="shared" si="31"/>
        <v>54251.983</v>
      </c>
    </row>
    <row r="227" spans="2:16" ht="34.9" hidden="1" customHeight="1">
      <c r="B227" s="15">
        <v>44287</v>
      </c>
      <c r="C227" s="10">
        <v>18139.425999999999</v>
      </c>
      <c r="D227" s="10">
        <v>2843.1019999999999</v>
      </c>
      <c r="E227" s="10">
        <v>6943.9139999999998</v>
      </c>
      <c r="F227" s="10">
        <v>34308.654000000002</v>
      </c>
      <c r="G227" s="11">
        <f t="shared" si="30"/>
        <v>62235.096000000005</v>
      </c>
      <c r="H227" s="10">
        <v>2.169</v>
      </c>
      <c r="I227" s="10">
        <v>248.35900000000001</v>
      </c>
      <c r="J227" s="10">
        <v>128.36199999999999</v>
      </c>
      <c r="K227" s="10">
        <v>4065.393</v>
      </c>
      <c r="L227" s="10">
        <v>579.95799999999997</v>
      </c>
      <c r="M227" s="10">
        <v>0</v>
      </c>
      <c r="N227" s="10">
        <v>19098.433000000001</v>
      </c>
      <c r="O227" s="10">
        <v>9703.2540000000008</v>
      </c>
      <c r="P227" s="11">
        <f t="shared" si="31"/>
        <v>33825.928</v>
      </c>
    </row>
    <row r="228" spans="2:16" ht="34.9" hidden="1" customHeight="1">
      <c r="B228" s="14">
        <v>44317</v>
      </c>
      <c r="C228" s="6">
        <v>61991.775999999998</v>
      </c>
      <c r="D228" s="6">
        <v>390.15499999999997</v>
      </c>
      <c r="E228" s="6">
        <v>7178.5010000000002</v>
      </c>
      <c r="F228" s="6">
        <v>31996.048999999999</v>
      </c>
      <c r="G228" s="7">
        <f t="shared" si="30"/>
        <v>101556.481</v>
      </c>
      <c r="H228" s="6">
        <v>46.758000000000003</v>
      </c>
      <c r="I228" s="6">
        <v>396.43299999999999</v>
      </c>
      <c r="J228" s="6">
        <v>1579.425</v>
      </c>
      <c r="K228" s="6">
        <v>4713.1350000000002</v>
      </c>
      <c r="L228" s="6">
        <v>3721.1590000000001</v>
      </c>
      <c r="M228" s="6">
        <v>0</v>
      </c>
      <c r="N228" s="6">
        <v>38355.728999999999</v>
      </c>
      <c r="O228" s="6">
        <v>4917.7700000000004</v>
      </c>
      <c r="P228" s="7">
        <f t="shared" si="31"/>
        <v>53730.409</v>
      </c>
    </row>
    <row r="229" spans="2:16" ht="34.9" hidden="1" customHeight="1">
      <c r="B229" s="15">
        <v>44348</v>
      </c>
      <c r="C229" s="10">
        <v>49264.273000000001</v>
      </c>
      <c r="D229" s="10">
        <v>6059.0550000000003</v>
      </c>
      <c r="E229" s="10">
        <v>12242.732</v>
      </c>
      <c r="F229" s="10">
        <v>43417.271999999997</v>
      </c>
      <c r="G229" s="11">
        <f t="shared" si="30"/>
        <v>110983.33199999999</v>
      </c>
      <c r="H229" s="10">
        <v>12.552</v>
      </c>
      <c r="I229" s="10">
        <v>412.73500000000001</v>
      </c>
      <c r="J229" s="10">
        <v>561.55499999999995</v>
      </c>
      <c r="K229" s="10">
        <v>5634.2929999999997</v>
      </c>
      <c r="L229" s="10">
        <v>5078.9830000000002</v>
      </c>
      <c r="M229" s="10">
        <v>0</v>
      </c>
      <c r="N229" s="10">
        <v>46803.053999999996</v>
      </c>
      <c r="O229" s="10">
        <v>9370.02</v>
      </c>
      <c r="P229" s="11">
        <f t="shared" si="31"/>
        <v>67873.191999999995</v>
      </c>
    </row>
    <row r="230" spans="2:16" ht="34.9" hidden="1" customHeight="1">
      <c r="B230" s="14">
        <v>44378</v>
      </c>
      <c r="C230" s="6">
        <v>17035.825000000001</v>
      </c>
      <c r="D230" s="6">
        <v>1916.0650000000001</v>
      </c>
      <c r="E230" s="6">
        <v>9365.1389999999992</v>
      </c>
      <c r="F230" s="6">
        <v>24767.367999999999</v>
      </c>
      <c r="G230" s="7">
        <f t="shared" si="30"/>
        <v>53084.396999999997</v>
      </c>
      <c r="H230" s="6">
        <v>8.1110000000000007</v>
      </c>
      <c r="I230" s="6">
        <v>209.221</v>
      </c>
      <c r="J230" s="6">
        <v>359.00299999999999</v>
      </c>
      <c r="K230" s="6">
        <v>2835.002</v>
      </c>
      <c r="L230" s="6">
        <v>852.79399999999998</v>
      </c>
      <c r="M230" s="6">
        <v>0</v>
      </c>
      <c r="N230" s="6">
        <v>26318.192999999999</v>
      </c>
      <c r="O230" s="6">
        <v>5041.4949999999999</v>
      </c>
      <c r="P230" s="7">
        <f t="shared" si="31"/>
        <v>35623.819000000003</v>
      </c>
    </row>
    <row r="231" spans="2:16" ht="34.9" hidden="1" customHeight="1">
      <c r="B231" s="15">
        <v>44409</v>
      </c>
      <c r="C231" s="10">
        <v>18128.670999999998</v>
      </c>
      <c r="D231" s="10">
        <v>1392.345</v>
      </c>
      <c r="E231" s="10">
        <v>9283.6049999999996</v>
      </c>
      <c r="F231" s="10">
        <v>37536.182000000001</v>
      </c>
      <c r="G231" s="11">
        <f t="shared" si="30"/>
        <v>66340.803</v>
      </c>
      <c r="H231" s="10">
        <v>41.219000000000001</v>
      </c>
      <c r="I231" s="10">
        <v>168.059</v>
      </c>
      <c r="J231" s="10">
        <v>851.23099999999999</v>
      </c>
      <c r="K231" s="10">
        <v>2582.2240000000002</v>
      </c>
      <c r="L231" s="10">
        <v>974.21199999999999</v>
      </c>
      <c r="M231" s="10">
        <v>0</v>
      </c>
      <c r="N231" s="10">
        <v>23126.393</v>
      </c>
      <c r="O231" s="10">
        <v>3880.5349999999999</v>
      </c>
      <c r="P231" s="11">
        <f t="shared" si="31"/>
        <v>31623.873</v>
      </c>
    </row>
    <row r="232" spans="2:16" ht="34.9" hidden="1" customHeight="1">
      <c r="B232" s="14">
        <v>44440</v>
      </c>
      <c r="C232" s="6">
        <v>21503.914000000001</v>
      </c>
      <c r="D232" s="6">
        <v>1217.9580000000001</v>
      </c>
      <c r="E232" s="6">
        <v>9950.8320000000003</v>
      </c>
      <c r="F232" s="6">
        <v>57711.21</v>
      </c>
      <c r="G232" s="7">
        <f t="shared" si="30"/>
        <v>90383.91399999999</v>
      </c>
      <c r="H232" s="6">
        <v>347.88400000000001</v>
      </c>
      <c r="I232" s="6">
        <v>243.417</v>
      </c>
      <c r="J232" s="6">
        <v>3476.5309999999999</v>
      </c>
      <c r="K232" s="6">
        <v>3112.049</v>
      </c>
      <c r="L232" s="6">
        <v>521.26099999999997</v>
      </c>
      <c r="M232" s="6">
        <v>0</v>
      </c>
      <c r="N232" s="6">
        <v>15717.473</v>
      </c>
      <c r="O232" s="6">
        <v>10473.279</v>
      </c>
      <c r="P232" s="7">
        <f t="shared" si="31"/>
        <v>33891.894</v>
      </c>
    </row>
    <row r="233" spans="2:16" ht="34.9" hidden="1" customHeight="1">
      <c r="B233" s="15">
        <v>44470</v>
      </c>
      <c r="C233" s="10">
        <v>21728.708999999999</v>
      </c>
      <c r="D233" s="10">
        <v>3050.6469999999999</v>
      </c>
      <c r="E233" s="10">
        <v>7205.7640000000001</v>
      </c>
      <c r="F233" s="10">
        <v>26733.739000000001</v>
      </c>
      <c r="G233" s="11">
        <f t="shared" si="30"/>
        <v>58718.858999999997</v>
      </c>
      <c r="H233" s="10">
        <v>187.32599999999999</v>
      </c>
      <c r="I233" s="10">
        <v>570.06100000000004</v>
      </c>
      <c r="J233" s="10">
        <v>389.79399999999998</v>
      </c>
      <c r="K233" s="10">
        <v>3895.8980000000001</v>
      </c>
      <c r="L233" s="10">
        <v>1768.1379999999999</v>
      </c>
      <c r="M233" s="10">
        <v>0</v>
      </c>
      <c r="N233" s="10">
        <v>18805.476999999999</v>
      </c>
      <c r="O233" s="10">
        <v>8373.7999999999993</v>
      </c>
      <c r="P233" s="11">
        <f t="shared" si="31"/>
        <v>33990.493999999999</v>
      </c>
    </row>
    <row r="234" spans="2:16" ht="34.9" hidden="1" customHeight="1">
      <c r="B234" s="14">
        <v>44501</v>
      </c>
      <c r="C234" s="6">
        <v>18582.445</v>
      </c>
      <c r="D234" s="6">
        <v>3913.1190000000001</v>
      </c>
      <c r="E234" s="6">
        <v>10761.843000000001</v>
      </c>
      <c r="F234" s="6">
        <v>33716.264999999999</v>
      </c>
      <c r="G234" s="7">
        <f t="shared" si="30"/>
        <v>66973.671999999991</v>
      </c>
      <c r="H234" s="6">
        <v>39.396000000000001</v>
      </c>
      <c r="I234" s="6">
        <v>752.52700000000004</v>
      </c>
      <c r="J234" s="6">
        <v>780.84400000000005</v>
      </c>
      <c r="K234" s="6">
        <v>4144.5749999999998</v>
      </c>
      <c r="L234" s="6">
        <v>352.44099999999997</v>
      </c>
      <c r="M234" s="6">
        <v>0</v>
      </c>
      <c r="N234" s="6">
        <v>14492.378000000001</v>
      </c>
      <c r="O234" s="6">
        <v>13917.370999999999</v>
      </c>
      <c r="P234" s="7">
        <f t="shared" si="31"/>
        <v>34479.531999999999</v>
      </c>
    </row>
    <row r="235" spans="2:16" ht="34.9" hidden="1" customHeight="1">
      <c r="B235" s="15">
        <v>44531</v>
      </c>
      <c r="C235" s="10">
        <v>41476.665000000001</v>
      </c>
      <c r="D235" s="10">
        <v>4184.5429999999997</v>
      </c>
      <c r="E235" s="10">
        <v>9748.4680000000008</v>
      </c>
      <c r="F235" s="10">
        <v>49249.807999999997</v>
      </c>
      <c r="G235" s="11">
        <f t="shared" si="30"/>
        <v>104659.484</v>
      </c>
      <c r="H235" s="10">
        <v>13.294</v>
      </c>
      <c r="I235" s="10">
        <v>375.35</v>
      </c>
      <c r="J235" s="10">
        <v>818.66899999999998</v>
      </c>
      <c r="K235" s="10">
        <v>2084.873</v>
      </c>
      <c r="L235" s="10">
        <v>319.22000000000003</v>
      </c>
      <c r="M235" s="10">
        <v>0</v>
      </c>
      <c r="N235" s="10">
        <v>13066.459000000001</v>
      </c>
      <c r="O235" s="10">
        <v>9709.6990000000005</v>
      </c>
      <c r="P235" s="11">
        <f t="shared" si="31"/>
        <v>26387.564000000002</v>
      </c>
    </row>
    <row r="236" spans="2:16" s="8" customFormat="1" ht="34.9" hidden="1" customHeight="1">
      <c r="B236" s="3">
        <v>2022</v>
      </c>
      <c r="C236" s="12"/>
      <c r="D236" s="12"/>
      <c r="E236" s="12"/>
      <c r="F236" s="12"/>
      <c r="G236" s="13"/>
      <c r="H236" s="12"/>
      <c r="I236" s="12"/>
      <c r="J236" s="12"/>
      <c r="K236" s="12"/>
      <c r="L236" s="12"/>
      <c r="M236" s="12"/>
      <c r="N236" s="12"/>
      <c r="O236" s="12"/>
      <c r="P236" s="13"/>
    </row>
    <row r="237" spans="2:16" ht="34.9" hidden="1" customHeight="1">
      <c r="B237" s="14">
        <v>44562</v>
      </c>
      <c r="C237" s="6">
        <v>27551.308000000001</v>
      </c>
      <c r="D237" s="6">
        <v>2687.3829999999998</v>
      </c>
      <c r="E237" s="6">
        <v>5751.1970000000001</v>
      </c>
      <c r="F237" s="6">
        <v>26246.055</v>
      </c>
      <c r="G237" s="7">
        <f t="shared" ref="G237:G248" si="32">SUM(C237:F237)</f>
        <v>62235.942999999999</v>
      </c>
      <c r="H237" s="6">
        <v>211.32400000000001</v>
      </c>
      <c r="I237" s="6">
        <v>345.512</v>
      </c>
      <c r="J237" s="6">
        <v>1277.8969999999999</v>
      </c>
      <c r="K237" s="6">
        <v>1485.106</v>
      </c>
      <c r="L237" s="6">
        <v>663.3</v>
      </c>
      <c r="M237" s="6">
        <v>0</v>
      </c>
      <c r="N237" s="6">
        <v>20768.57</v>
      </c>
      <c r="O237" s="6">
        <v>6245.91</v>
      </c>
      <c r="P237" s="7">
        <f t="shared" ref="P237:P248" si="33">SUM(H237:O237)</f>
        <v>30997.618999999999</v>
      </c>
    </row>
    <row r="238" spans="2:16" ht="34.9" hidden="1" customHeight="1">
      <c r="B238" s="15">
        <v>44593</v>
      </c>
      <c r="C238" s="10">
        <v>33623.792000000001</v>
      </c>
      <c r="D238" s="10">
        <v>4817.57</v>
      </c>
      <c r="E238" s="10">
        <v>6679.5439999999999</v>
      </c>
      <c r="F238" s="10">
        <v>23762.243999999999</v>
      </c>
      <c r="G238" s="11">
        <f t="shared" si="32"/>
        <v>68883.149999999994</v>
      </c>
      <c r="H238" s="10">
        <v>91.013000000000005</v>
      </c>
      <c r="I238" s="10">
        <v>220.99600000000001</v>
      </c>
      <c r="J238" s="10">
        <v>569.52200000000005</v>
      </c>
      <c r="K238" s="10">
        <v>1452.204</v>
      </c>
      <c r="L238" s="10">
        <v>4336.09</v>
      </c>
      <c r="M238" s="10">
        <v>0</v>
      </c>
      <c r="N238" s="10">
        <v>12600.637000000001</v>
      </c>
      <c r="O238" s="10">
        <v>8046.1530000000002</v>
      </c>
      <c r="P238" s="11">
        <f t="shared" si="33"/>
        <v>27316.614999999998</v>
      </c>
    </row>
    <row r="239" spans="2:16" ht="34.9" hidden="1" customHeight="1">
      <c r="B239" s="14">
        <v>44621</v>
      </c>
      <c r="C239" s="6">
        <v>23369.940999999999</v>
      </c>
      <c r="D239" s="6">
        <v>1922.3579999999999</v>
      </c>
      <c r="E239" s="6">
        <v>8863.4639999999999</v>
      </c>
      <c r="F239" s="6">
        <v>27139.473999999998</v>
      </c>
      <c r="G239" s="7">
        <f t="shared" si="32"/>
        <v>61295.236999999994</v>
      </c>
      <c r="H239" s="6">
        <v>707.73500000000001</v>
      </c>
      <c r="I239" s="6">
        <v>264.38299999999998</v>
      </c>
      <c r="J239" s="6">
        <v>547.61500000000001</v>
      </c>
      <c r="K239" s="6">
        <v>1818.1110000000001</v>
      </c>
      <c r="L239" s="6">
        <v>12376.156999999999</v>
      </c>
      <c r="M239" s="6">
        <v>0</v>
      </c>
      <c r="N239" s="6">
        <v>17958.478999999999</v>
      </c>
      <c r="O239" s="6">
        <v>6041.8230000000003</v>
      </c>
      <c r="P239" s="7">
        <f t="shared" si="33"/>
        <v>39714.303</v>
      </c>
    </row>
    <row r="240" spans="2:16" ht="34.9" hidden="1" customHeight="1">
      <c r="B240" s="15">
        <v>44652</v>
      </c>
      <c r="C240" s="10">
        <v>43584.686999999998</v>
      </c>
      <c r="D240" s="10">
        <v>1555.1420000000001</v>
      </c>
      <c r="E240" s="10">
        <v>1370.788</v>
      </c>
      <c r="F240" s="10">
        <v>15873.005999999999</v>
      </c>
      <c r="G240" s="11">
        <f t="shared" si="32"/>
        <v>62383.623</v>
      </c>
      <c r="H240" s="10">
        <v>550.95299999999997</v>
      </c>
      <c r="I240" s="10">
        <v>79.353999999999999</v>
      </c>
      <c r="J240" s="10">
        <v>388.262</v>
      </c>
      <c r="K240" s="10">
        <v>1033.5440000000001</v>
      </c>
      <c r="L240" s="10">
        <v>6375.692</v>
      </c>
      <c r="M240" s="10">
        <v>0</v>
      </c>
      <c r="N240" s="10">
        <v>29503.004000000001</v>
      </c>
      <c r="O240" s="10">
        <v>4142.8990000000003</v>
      </c>
      <c r="P240" s="11">
        <f t="shared" si="33"/>
        <v>42073.707999999999</v>
      </c>
    </row>
    <row r="241" spans="2:16" ht="34.9" hidden="1" customHeight="1">
      <c r="B241" s="14">
        <v>44682</v>
      </c>
      <c r="C241" s="6">
        <v>31654.094000000001</v>
      </c>
      <c r="D241" s="6">
        <v>3891.0630000000001</v>
      </c>
      <c r="E241" s="6">
        <v>4377.2179999999998</v>
      </c>
      <c r="F241" s="6">
        <v>16894.983</v>
      </c>
      <c r="G241" s="7">
        <f t="shared" si="32"/>
        <v>56817.358</v>
      </c>
      <c r="H241" s="6">
        <v>475.52100000000002</v>
      </c>
      <c r="I241" s="6">
        <v>338.15199999999999</v>
      </c>
      <c r="J241" s="6">
        <v>867.88900000000001</v>
      </c>
      <c r="K241" s="6">
        <v>1181.135</v>
      </c>
      <c r="L241" s="6">
        <v>4269.4070000000002</v>
      </c>
      <c r="M241" s="6">
        <v>0</v>
      </c>
      <c r="N241" s="6">
        <v>62481.764999999999</v>
      </c>
      <c r="O241" s="6">
        <v>4553.576</v>
      </c>
      <c r="P241" s="7">
        <f t="shared" si="33"/>
        <v>74167.445000000007</v>
      </c>
    </row>
    <row r="242" spans="2:16" ht="34.9" hidden="1" customHeight="1">
      <c r="B242" s="15">
        <v>44713</v>
      </c>
      <c r="C242" s="10">
        <v>66221.910999999993</v>
      </c>
      <c r="D242" s="10">
        <v>9953.1080000000002</v>
      </c>
      <c r="E242" s="10">
        <v>21405.637999999999</v>
      </c>
      <c r="F242" s="10">
        <v>26652.884999999998</v>
      </c>
      <c r="G242" s="11">
        <f t="shared" si="32"/>
        <v>124233.542</v>
      </c>
      <c r="H242" s="10">
        <v>349.39699999999999</v>
      </c>
      <c r="I242" s="10">
        <v>140.16499999999999</v>
      </c>
      <c r="J242" s="10">
        <v>430.80399999999997</v>
      </c>
      <c r="K242" s="10">
        <v>730.76099999999997</v>
      </c>
      <c r="L242" s="10">
        <v>12513.705</v>
      </c>
      <c r="M242" s="10">
        <v>0</v>
      </c>
      <c r="N242" s="10">
        <v>39016.834000000003</v>
      </c>
      <c r="O242" s="10">
        <v>4852.9009999999998</v>
      </c>
      <c r="P242" s="11">
        <f t="shared" si="33"/>
        <v>58034.567000000003</v>
      </c>
    </row>
    <row r="243" spans="2:16" ht="34.9" hidden="1" customHeight="1">
      <c r="B243" s="14">
        <v>44743</v>
      </c>
      <c r="C243" s="6">
        <v>34062.991999999998</v>
      </c>
      <c r="D243" s="6">
        <v>7186.8940000000002</v>
      </c>
      <c r="E243" s="6">
        <v>5287.98</v>
      </c>
      <c r="F243" s="6">
        <v>11621.859</v>
      </c>
      <c r="G243" s="7">
        <f t="shared" si="32"/>
        <v>58159.724999999991</v>
      </c>
      <c r="H243" s="6">
        <v>117.322</v>
      </c>
      <c r="I243" s="6">
        <v>297.76799999999997</v>
      </c>
      <c r="J243" s="6">
        <v>369.28100000000001</v>
      </c>
      <c r="K243" s="6">
        <v>1002.651</v>
      </c>
      <c r="L243" s="6">
        <v>4565.5820000000003</v>
      </c>
      <c r="M243" s="6">
        <v>0</v>
      </c>
      <c r="N243" s="6">
        <v>76642.425000000003</v>
      </c>
      <c r="O243" s="6">
        <v>6700.1180000000004</v>
      </c>
      <c r="P243" s="7">
        <f t="shared" si="33"/>
        <v>89695.147000000012</v>
      </c>
    </row>
    <row r="244" spans="2:16" ht="34.9" hidden="1" customHeight="1">
      <c r="B244" s="15">
        <v>44774</v>
      </c>
      <c r="C244" s="10">
        <v>140451.03099999999</v>
      </c>
      <c r="D244" s="10">
        <v>3872.84</v>
      </c>
      <c r="E244" s="10">
        <v>5104.7169999999996</v>
      </c>
      <c r="F244" s="10">
        <v>17272.819</v>
      </c>
      <c r="G244" s="11">
        <f t="shared" si="32"/>
        <v>166701.40699999998</v>
      </c>
      <c r="H244" s="10">
        <v>179.98</v>
      </c>
      <c r="I244" s="10">
        <v>185.54599999999999</v>
      </c>
      <c r="J244" s="10">
        <v>477.86200000000002</v>
      </c>
      <c r="K244" s="10">
        <v>855.98400000000004</v>
      </c>
      <c r="L244" s="10">
        <v>14208.683999999999</v>
      </c>
      <c r="M244" s="10">
        <v>0</v>
      </c>
      <c r="N244" s="10">
        <v>57823.192000000003</v>
      </c>
      <c r="O244" s="10">
        <v>7535.393</v>
      </c>
      <c r="P244" s="11">
        <f t="shared" si="33"/>
        <v>81266.641000000003</v>
      </c>
    </row>
    <row r="245" spans="2:16" s="8" customFormat="1" ht="34.9" hidden="1" customHeight="1">
      <c r="B245" s="14">
        <v>44805</v>
      </c>
      <c r="C245" s="6">
        <v>13746.581</v>
      </c>
      <c r="D245" s="6">
        <v>1519.5920000000001</v>
      </c>
      <c r="E245" s="6">
        <v>8148.1530000000002</v>
      </c>
      <c r="F245" s="6">
        <v>29530.48</v>
      </c>
      <c r="G245" s="7">
        <f t="shared" si="32"/>
        <v>52944.805999999997</v>
      </c>
      <c r="H245" s="6">
        <v>292.21100000000001</v>
      </c>
      <c r="I245" s="6">
        <v>454.19400000000002</v>
      </c>
      <c r="J245" s="6">
        <v>349.78800000000001</v>
      </c>
      <c r="K245" s="6">
        <v>496.58300000000003</v>
      </c>
      <c r="L245" s="6">
        <v>11027.605</v>
      </c>
      <c r="M245" s="6">
        <v>0</v>
      </c>
      <c r="N245" s="6">
        <v>29459.123</v>
      </c>
      <c r="O245" s="6">
        <v>2184.8919999999998</v>
      </c>
      <c r="P245" s="7">
        <f t="shared" si="33"/>
        <v>44264.396000000001</v>
      </c>
    </row>
    <row r="246" spans="2:16" s="8" customFormat="1" ht="34.9" hidden="1" customHeight="1">
      <c r="B246" s="15">
        <v>44835</v>
      </c>
      <c r="C246" s="10">
        <v>12251.561</v>
      </c>
      <c r="D246" s="10">
        <v>3657.5770000000002</v>
      </c>
      <c r="E246" s="10">
        <v>6702.63</v>
      </c>
      <c r="F246" s="10">
        <v>13979.244000000001</v>
      </c>
      <c r="G246" s="11">
        <f t="shared" si="32"/>
        <v>36591.012000000002</v>
      </c>
      <c r="H246" s="10">
        <v>209.92599999999999</v>
      </c>
      <c r="I246" s="10">
        <v>308.428</v>
      </c>
      <c r="J246" s="10">
        <v>611.64300000000003</v>
      </c>
      <c r="K246" s="10">
        <v>838.279</v>
      </c>
      <c r="L246" s="10">
        <v>11901.092000000001</v>
      </c>
      <c r="M246" s="10">
        <v>0</v>
      </c>
      <c r="N246" s="10">
        <v>34020.567000000003</v>
      </c>
      <c r="O246" s="10">
        <v>16053.699000000001</v>
      </c>
      <c r="P246" s="11">
        <f t="shared" si="33"/>
        <v>63943.634000000005</v>
      </c>
    </row>
    <row r="247" spans="2:16" s="8" customFormat="1" ht="34.9" hidden="1" customHeight="1">
      <c r="B247" s="14">
        <v>44866</v>
      </c>
      <c r="C247" s="6">
        <v>12330.236999999999</v>
      </c>
      <c r="D247" s="6">
        <v>24455.987000000001</v>
      </c>
      <c r="E247" s="6">
        <v>5905.3940000000002</v>
      </c>
      <c r="F247" s="6">
        <v>7451.1379999999999</v>
      </c>
      <c r="G247" s="7">
        <f t="shared" si="32"/>
        <v>50142.756000000001</v>
      </c>
      <c r="H247" s="6">
        <v>102.40300000000001</v>
      </c>
      <c r="I247" s="6">
        <v>873.87800000000004</v>
      </c>
      <c r="J247" s="6">
        <v>1220.376</v>
      </c>
      <c r="K247" s="6">
        <v>680.05399999999997</v>
      </c>
      <c r="L247" s="6">
        <v>6145.2849999999999</v>
      </c>
      <c r="M247" s="6">
        <v>0</v>
      </c>
      <c r="N247" s="6">
        <v>18956.321</v>
      </c>
      <c r="O247" s="6">
        <v>12033.737999999999</v>
      </c>
      <c r="P247" s="7">
        <f t="shared" si="33"/>
        <v>40012.055</v>
      </c>
    </row>
    <row r="248" spans="2:16" s="8" customFormat="1" ht="34.9" hidden="1" customHeight="1">
      <c r="B248" s="15">
        <v>44896</v>
      </c>
      <c r="C248" s="10">
        <v>10898.593999999999</v>
      </c>
      <c r="D248" s="10">
        <v>2892.9850000000001</v>
      </c>
      <c r="E248" s="10">
        <v>10391.239</v>
      </c>
      <c r="F248" s="10">
        <v>8169.11</v>
      </c>
      <c r="G248" s="11">
        <f t="shared" si="32"/>
        <v>32351.928</v>
      </c>
      <c r="H248" s="10">
        <v>301.26</v>
      </c>
      <c r="I248" s="10">
        <v>479.55799999999999</v>
      </c>
      <c r="J248" s="10">
        <v>139.02000000000001</v>
      </c>
      <c r="K248" s="10">
        <v>434.78699999999998</v>
      </c>
      <c r="L248" s="10">
        <v>8574.7579999999998</v>
      </c>
      <c r="M248" s="10">
        <v>0</v>
      </c>
      <c r="N248" s="10">
        <v>15759.851000000001</v>
      </c>
      <c r="O248" s="10">
        <v>7776.6329999999998</v>
      </c>
      <c r="P248" s="11">
        <f t="shared" si="33"/>
        <v>33465.866999999998</v>
      </c>
    </row>
    <row r="249" spans="2:16" s="8" customFormat="1" ht="34.9" hidden="1" customHeight="1">
      <c r="B249" s="3">
        <v>2023</v>
      </c>
      <c r="C249" s="12"/>
      <c r="D249" s="12"/>
      <c r="E249" s="12"/>
      <c r="F249" s="12"/>
      <c r="G249" s="13"/>
      <c r="H249" s="12"/>
      <c r="I249" s="12"/>
      <c r="J249" s="12"/>
      <c r="K249" s="12"/>
      <c r="L249" s="12"/>
      <c r="M249" s="12"/>
      <c r="N249" s="12"/>
      <c r="O249" s="12"/>
      <c r="P249" s="13"/>
    </row>
    <row r="250" spans="2:16" s="8" customFormat="1" ht="34.9" hidden="1" customHeight="1">
      <c r="B250" s="14">
        <v>44927</v>
      </c>
      <c r="C250" s="6">
        <v>28171.462</v>
      </c>
      <c r="D250" s="6">
        <v>6359.1049999999996</v>
      </c>
      <c r="E250" s="6">
        <v>9982.9009999999998</v>
      </c>
      <c r="F250" s="6">
        <v>13528.746999999999</v>
      </c>
      <c r="G250" s="7">
        <f t="shared" ref="G250:G263" si="34">SUM(C250:F250)</f>
        <v>58042.214999999997</v>
      </c>
      <c r="H250" s="6">
        <v>24.739000000000001</v>
      </c>
      <c r="I250" s="6">
        <v>118.017</v>
      </c>
      <c r="J250" s="6">
        <v>101.41</v>
      </c>
      <c r="K250" s="6">
        <v>862.077</v>
      </c>
      <c r="L250" s="6">
        <v>11013.808000000001</v>
      </c>
      <c r="M250" s="6">
        <v>0</v>
      </c>
      <c r="N250" s="6">
        <v>57945.964</v>
      </c>
      <c r="O250" s="6">
        <v>3250.567</v>
      </c>
      <c r="P250" s="7">
        <f t="shared" ref="P250:P263" si="35">SUM(H250:O250)</f>
        <v>73316.581999999995</v>
      </c>
    </row>
    <row r="251" spans="2:16" s="8" customFormat="1" ht="34.9" hidden="1" customHeight="1">
      <c r="B251" s="15">
        <v>44958</v>
      </c>
      <c r="C251" s="10">
        <v>24359.033000000003</v>
      </c>
      <c r="D251" s="10">
        <v>7472.0739999999996</v>
      </c>
      <c r="E251" s="10">
        <v>13434.512000000001</v>
      </c>
      <c r="F251" s="10">
        <v>14144.831</v>
      </c>
      <c r="G251" s="11">
        <f t="shared" si="34"/>
        <v>59410.450000000004</v>
      </c>
      <c r="H251" s="10">
        <v>32.359000000000002</v>
      </c>
      <c r="I251" s="10">
        <v>131.24700000000001</v>
      </c>
      <c r="J251" s="10">
        <v>263.05399999999997</v>
      </c>
      <c r="K251" s="10">
        <v>1046.991</v>
      </c>
      <c r="L251" s="10">
        <v>14906.153</v>
      </c>
      <c r="M251" s="10">
        <v>0</v>
      </c>
      <c r="N251" s="10">
        <v>45215.353000000003</v>
      </c>
      <c r="O251" s="10">
        <v>1660.134</v>
      </c>
      <c r="P251" s="11">
        <f t="shared" si="35"/>
        <v>63255.291000000005</v>
      </c>
    </row>
    <row r="252" spans="2:16" s="8" customFormat="1" ht="34.9" hidden="1" customHeight="1">
      <c r="B252" s="14">
        <v>44986</v>
      </c>
      <c r="C252" s="6">
        <v>18324.878000000001</v>
      </c>
      <c r="D252" s="6">
        <v>8191.1549999999997</v>
      </c>
      <c r="E252" s="6">
        <v>11770.457</v>
      </c>
      <c r="F252" s="6">
        <v>15833.192999999999</v>
      </c>
      <c r="G252" s="7">
        <f t="shared" si="34"/>
        <v>54119.682999999997</v>
      </c>
      <c r="H252" s="6">
        <v>100.30800000000001</v>
      </c>
      <c r="I252" s="6">
        <v>120.962</v>
      </c>
      <c r="J252" s="6">
        <v>536.88800000000003</v>
      </c>
      <c r="K252" s="6">
        <v>878.29600000000005</v>
      </c>
      <c r="L252" s="6">
        <v>17479.705000000002</v>
      </c>
      <c r="M252" s="6">
        <v>0</v>
      </c>
      <c r="N252" s="6">
        <v>25908.670999999998</v>
      </c>
      <c r="O252" s="6">
        <v>572.55899999999997</v>
      </c>
      <c r="P252" s="7">
        <f t="shared" si="35"/>
        <v>45597.389000000003</v>
      </c>
    </row>
    <row r="253" spans="2:16" s="8" customFormat="1" ht="34.9" hidden="1" customHeight="1">
      <c r="B253" s="15">
        <v>45017</v>
      </c>
      <c r="C253" s="10">
        <v>15610.379000000001</v>
      </c>
      <c r="D253" s="10">
        <v>1536.0809999999999</v>
      </c>
      <c r="E253" s="10">
        <v>5572.5379999999996</v>
      </c>
      <c r="F253" s="10">
        <v>6862.19</v>
      </c>
      <c r="G253" s="11">
        <f t="shared" si="34"/>
        <v>29581.187999999998</v>
      </c>
      <c r="H253" s="10">
        <v>176.50800000000001</v>
      </c>
      <c r="I253" s="10">
        <v>131.07900000000001</v>
      </c>
      <c r="J253" s="10">
        <v>212.77500000000001</v>
      </c>
      <c r="K253" s="10">
        <v>187.999</v>
      </c>
      <c r="L253" s="10">
        <v>23589.49</v>
      </c>
      <c r="M253" s="10">
        <v>0</v>
      </c>
      <c r="N253" s="10">
        <v>18627.370999999999</v>
      </c>
      <c r="O253" s="10">
        <v>564.17499999999995</v>
      </c>
      <c r="P253" s="11">
        <f t="shared" si="35"/>
        <v>43489.397000000004</v>
      </c>
    </row>
    <row r="254" spans="2:16" s="8" customFormat="1" ht="34.9" hidden="1" customHeight="1">
      <c r="B254" s="14">
        <v>45047</v>
      </c>
      <c r="C254" s="6">
        <v>22722.399000000001</v>
      </c>
      <c r="D254" s="6">
        <v>327.89600000000002</v>
      </c>
      <c r="E254" s="6">
        <v>8739.1119999999992</v>
      </c>
      <c r="F254" s="6">
        <v>12206.071</v>
      </c>
      <c r="G254" s="7">
        <f t="shared" si="34"/>
        <v>43995.478000000003</v>
      </c>
      <c r="H254" s="6">
        <v>91.436000000000007</v>
      </c>
      <c r="I254" s="6">
        <v>427.94299999999998</v>
      </c>
      <c r="J254" s="6">
        <v>160.399</v>
      </c>
      <c r="K254" s="6">
        <v>2256.8319999999999</v>
      </c>
      <c r="L254" s="6">
        <v>9828.5310000000009</v>
      </c>
      <c r="M254" s="6">
        <v>0</v>
      </c>
      <c r="N254" s="6">
        <v>15496.884</v>
      </c>
      <c r="O254" s="6">
        <v>1315.7190000000001</v>
      </c>
      <c r="P254" s="7">
        <f t="shared" si="35"/>
        <v>29577.744000000002</v>
      </c>
    </row>
    <row r="255" spans="2:16" s="8" customFormat="1" ht="34.9" hidden="1" customHeight="1">
      <c r="B255" s="15">
        <v>45078</v>
      </c>
      <c r="C255" s="10">
        <v>14159.244000000001</v>
      </c>
      <c r="D255" s="10">
        <v>234.52099999999999</v>
      </c>
      <c r="E255" s="10">
        <v>9821.2350000000006</v>
      </c>
      <c r="F255" s="10">
        <v>17042.575000000001</v>
      </c>
      <c r="G255" s="11">
        <f t="shared" si="34"/>
        <v>41257.574999999997</v>
      </c>
      <c r="H255" s="10">
        <v>3.202</v>
      </c>
      <c r="I255" s="10">
        <v>220.40700000000001</v>
      </c>
      <c r="J255" s="10">
        <v>268.41800000000001</v>
      </c>
      <c r="K255" s="10">
        <v>2215.6080000000002</v>
      </c>
      <c r="L255" s="10">
        <v>5760.3990000000003</v>
      </c>
      <c r="M255" s="10">
        <v>0</v>
      </c>
      <c r="N255" s="10">
        <v>7030.1840000000002</v>
      </c>
      <c r="O255" s="10">
        <v>518.60799999999995</v>
      </c>
      <c r="P255" s="11">
        <f t="shared" si="35"/>
        <v>16016.826000000001</v>
      </c>
    </row>
    <row r="256" spans="2:16" s="8" customFormat="1" ht="34.9" hidden="1" customHeight="1">
      <c r="B256" s="14">
        <v>45108</v>
      </c>
      <c r="C256" s="6">
        <v>15594.386</v>
      </c>
      <c r="D256" s="6">
        <v>7016.17</v>
      </c>
      <c r="E256" s="6">
        <v>6685.6790000000001</v>
      </c>
      <c r="F256" s="6">
        <v>12698.852999999999</v>
      </c>
      <c r="G256" s="7">
        <f t="shared" si="34"/>
        <v>41995.088000000003</v>
      </c>
      <c r="H256" s="6">
        <v>0</v>
      </c>
      <c r="I256" s="6">
        <v>264.80200000000002</v>
      </c>
      <c r="J256" s="6">
        <v>183.48</v>
      </c>
      <c r="K256" s="6">
        <v>1545.6130000000001</v>
      </c>
      <c r="L256" s="6">
        <v>14570.611000000001</v>
      </c>
      <c r="M256" s="6">
        <v>0</v>
      </c>
      <c r="N256" s="6">
        <v>28121.042000000001</v>
      </c>
      <c r="O256" s="6">
        <v>220.232</v>
      </c>
      <c r="P256" s="7">
        <f t="shared" si="35"/>
        <v>44905.780000000006</v>
      </c>
    </row>
    <row r="257" spans="2:16" s="8" customFormat="1" ht="34.9" hidden="1" customHeight="1">
      <c r="B257" s="15">
        <v>45139</v>
      </c>
      <c r="C257" s="10">
        <v>33129.273999999998</v>
      </c>
      <c r="D257" s="10">
        <v>774.66099999999994</v>
      </c>
      <c r="E257" s="10">
        <v>5856.3909999999996</v>
      </c>
      <c r="F257" s="10">
        <v>9155.3729999999996</v>
      </c>
      <c r="G257" s="11">
        <f t="shared" si="34"/>
        <v>48915.699000000001</v>
      </c>
      <c r="H257" s="10">
        <v>22.298999999999999</v>
      </c>
      <c r="I257" s="10">
        <v>581.15</v>
      </c>
      <c r="J257" s="10">
        <v>283.245</v>
      </c>
      <c r="K257" s="10">
        <v>679.27700000000004</v>
      </c>
      <c r="L257" s="10">
        <v>11658.588</v>
      </c>
      <c r="M257" s="10">
        <v>0</v>
      </c>
      <c r="N257" s="10">
        <v>16050.912</v>
      </c>
      <c r="O257" s="10">
        <v>344.69600000000003</v>
      </c>
      <c r="P257" s="11">
        <f>SUM(H257:O257)</f>
        <v>29620.166999999998</v>
      </c>
    </row>
    <row r="258" spans="2:16" s="8" customFormat="1" ht="34.9" hidden="1" customHeight="1">
      <c r="B258" s="14">
        <v>45170</v>
      </c>
      <c r="C258" s="6">
        <v>11510.132</v>
      </c>
      <c r="D258" s="6">
        <v>867.64599999999996</v>
      </c>
      <c r="E258" s="6">
        <v>10297.914000000001</v>
      </c>
      <c r="F258" s="6">
        <v>14783.463</v>
      </c>
      <c r="G258" s="7">
        <f t="shared" si="34"/>
        <v>37459.154999999999</v>
      </c>
      <c r="H258" s="6">
        <v>147.84299999999999</v>
      </c>
      <c r="I258" s="6">
        <v>240.607</v>
      </c>
      <c r="J258" s="6">
        <v>282.37799999999999</v>
      </c>
      <c r="K258" s="6">
        <v>1132.3389999999999</v>
      </c>
      <c r="L258" s="6">
        <v>14746.759</v>
      </c>
      <c r="M258" s="6">
        <v>0</v>
      </c>
      <c r="N258" s="6">
        <v>8258.8680000000004</v>
      </c>
      <c r="O258" s="6">
        <v>1597.1559999999999</v>
      </c>
      <c r="P258" s="7">
        <f t="shared" si="35"/>
        <v>26405.95</v>
      </c>
    </row>
    <row r="259" spans="2:16" s="8" customFormat="1" ht="34.9" hidden="1" customHeight="1">
      <c r="B259" s="15">
        <v>45200</v>
      </c>
      <c r="C259" s="10">
        <v>12391.453</v>
      </c>
      <c r="D259" s="10">
        <v>797.61500000000001</v>
      </c>
      <c r="E259" s="10">
        <v>11765.656000000001</v>
      </c>
      <c r="F259" s="10">
        <v>16099.664000000001</v>
      </c>
      <c r="G259" s="11">
        <f t="shared" si="34"/>
        <v>41054.388000000006</v>
      </c>
      <c r="H259" s="10">
        <v>14.852</v>
      </c>
      <c r="I259" s="10">
        <v>279.25099999999998</v>
      </c>
      <c r="J259" s="10">
        <v>304.96600000000001</v>
      </c>
      <c r="K259" s="10">
        <v>1184.5820000000001</v>
      </c>
      <c r="L259" s="10">
        <v>16867.226999999999</v>
      </c>
      <c r="M259" s="10">
        <v>0</v>
      </c>
      <c r="N259" s="10">
        <v>7740.1840000000002</v>
      </c>
      <c r="O259" s="10">
        <v>612.05799999999999</v>
      </c>
      <c r="P259" s="11">
        <f t="shared" si="35"/>
        <v>27003.120000000003</v>
      </c>
    </row>
    <row r="260" spans="2:16" s="8" customFormat="1" ht="34.9" hidden="1" customHeight="1">
      <c r="B260" s="14">
        <v>45231</v>
      </c>
      <c r="C260" s="6">
        <v>11381.796</v>
      </c>
      <c r="D260" s="6">
        <v>479.44499999999999</v>
      </c>
      <c r="E260" s="6">
        <v>10942.334999999999</v>
      </c>
      <c r="F260" s="6">
        <v>13023.14</v>
      </c>
      <c r="G260" s="7">
        <f t="shared" si="34"/>
        <v>35826.716</v>
      </c>
      <c r="H260" s="6">
        <v>0</v>
      </c>
      <c r="I260" s="6">
        <v>1213.8230000000001</v>
      </c>
      <c r="J260" s="6">
        <v>107.419</v>
      </c>
      <c r="K260" s="6">
        <v>2102.7020000000002</v>
      </c>
      <c r="L260" s="6">
        <v>12622.954</v>
      </c>
      <c r="M260" s="6">
        <v>0</v>
      </c>
      <c r="N260" s="6">
        <v>5055.7489999999998</v>
      </c>
      <c r="O260" s="6">
        <v>409.548</v>
      </c>
      <c r="P260" s="7">
        <f t="shared" si="35"/>
        <v>21512.195</v>
      </c>
    </row>
    <row r="261" spans="2:16" s="8" customFormat="1" ht="34.5" hidden="1" customHeight="1">
      <c r="B261" s="60">
        <v>45261</v>
      </c>
      <c r="C261" s="61">
        <v>25399.614000000001</v>
      </c>
      <c r="D261" s="61">
        <v>522.44299999999998</v>
      </c>
      <c r="E261" s="61">
        <v>11103.706</v>
      </c>
      <c r="F261" s="61">
        <v>14117.254000000001</v>
      </c>
      <c r="G261" s="62">
        <f t="shared" si="34"/>
        <v>51143.017</v>
      </c>
      <c r="H261" s="61">
        <v>2.5920000000000001</v>
      </c>
      <c r="I261" s="61">
        <v>524.52800000000002</v>
      </c>
      <c r="J261" s="61">
        <v>163.03100000000001</v>
      </c>
      <c r="K261" s="61">
        <v>3270.9479999999999</v>
      </c>
      <c r="L261" s="61">
        <v>15501.665999999999</v>
      </c>
      <c r="M261" s="61">
        <v>0</v>
      </c>
      <c r="N261" s="61">
        <v>6286.6040000000003</v>
      </c>
      <c r="O261" s="61">
        <v>703.05100000000004</v>
      </c>
      <c r="P261" s="62">
        <f t="shared" si="35"/>
        <v>26452.42</v>
      </c>
    </row>
    <row r="262" spans="2:16" s="8" customFormat="1" ht="34.5" hidden="1" customHeight="1">
      <c r="B262" s="3">
        <v>2024</v>
      </c>
      <c r="C262" s="12"/>
      <c r="D262" s="12"/>
      <c r="E262" s="12"/>
      <c r="F262" s="12"/>
      <c r="G262" s="13"/>
      <c r="H262" s="12"/>
      <c r="I262" s="12"/>
      <c r="J262" s="12"/>
      <c r="K262" s="12"/>
      <c r="L262" s="12"/>
      <c r="M262" s="12"/>
      <c r="N262" s="12"/>
      <c r="O262" s="12"/>
      <c r="P262" s="13"/>
    </row>
    <row r="263" spans="2:16" s="8" customFormat="1" ht="34.5" hidden="1" customHeight="1">
      <c r="B263" s="14">
        <v>45292</v>
      </c>
      <c r="C263" s="6">
        <v>16209.477999999999</v>
      </c>
      <c r="D263" s="6">
        <v>1091.2090000000001</v>
      </c>
      <c r="E263" s="6">
        <v>8705.0630000000001</v>
      </c>
      <c r="F263" s="6">
        <v>16335.109</v>
      </c>
      <c r="G263" s="7">
        <f t="shared" si="34"/>
        <v>42340.858999999997</v>
      </c>
      <c r="H263" s="6">
        <v>54.984999999999999</v>
      </c>
      <c r="I263" s="6">
        <v>534.89200000000005</v>
      </c>
      <c r="J263" s="6">
        <v>639.52700000000004</v>
      </c>
      <c r="K263" s="6">
        <v>3826.2979999999998</v>
      </c>
      <c r="L263" s="6">
        <v>11788.793</v>
      </c>
      <c r="M263" s="6">
        <v>0</v>
      </c>
      <c r="N263" s="6">
        <v>30189.472000000002</v>
      </c>
      <c r="O263" s="6">
        <v>1403.5219999999999</v>
      </c>
      <c r="P263" s="7">
        <f t="shared" si="35"/>
        <v>48437.489000000001</v>
      </c>
    </row>
    <row r="264" spans="2:16" s="8" customFormat="1" ht="34.9" hidden="1" customHeight="1">
      <c r="B264" s="15">
        <v>45323</v>
      </c>
      <c r="C264" s="10">
        <v>36285.133000000002</v>
      </c>
      <c r="D264" s="10">
        <v>642.31500000000005</v>
      </c>
      <c r="E264" s="10">
        <v>8760.83</v>
      </c>
      <c r="F264" s="10">
        <v>7709.3059999999996</v>
      </c>
      <c r="G264" s="11">
        <f t="shared" ref="G264" si="36">SUM(C264:F264)</f>
        <v>53397.584000000003</v>
      </c>
      <c r="H264" s="10">
        <v>34.231999999999999</v>
      </c>
      <c r="I264" s="10">
        <v>93.683999999999997</v>
      </c>
      <c r="J264" s="10">
        <v>93.474999999999994</v>
      </c>
      <c r="K264" s="10">
        <v>1338.7159999999999</v>
      </c>
      <c r="L264" s="10">
        <v>12321.055</v>
      </c>
      <c r="M264" s="10">
        <v>0</v>
      </c>
      <c r="N264" s="10">
        <v>10399.864</v>
      </c>
      <c r="O264" s="10">
        <v>1874.489</v>
      </c>
      <c r="P264" s="11">
        <f t="shared" ref="P264" si="37">SUM(H264:O264)</f>
        <v>26155.514999999999</v>
      </c>
    </row>
    <row r="265" spans="2:16" s="8" customFormat="1" ht="34.9" hidden="1" customHeight="1">
      <c r="B265" s="14">
        <v>45352</v>
      </c>
      <c r="C265" s="6">
        <v>14713.778</v>
      </c>
      <c r="D265" s="6">
        <v>307.52699999999999</v>
      </c>
      <c r="E265" s="6">
        <v>6317.93</v>
      </c>
      <c r="F265" s="6">
        <v>7882.2529999999997</v>
      </c>
      <c r="G265" s="7">
        <f>SUM(C265:F265)</f>
        <v>29221.488000000001</v>
      </c>
      <c r="H265" s="6">
        <v>0.64600000000000002</v>
      </c>
      <c r="I265" s="6">
        <v>57.209000000000003</v>
      </c>
      <c r="J265" s="6">
        <v>144.83600000000001</v>
      </c>
      <c r="K265" s="6">
        <v>980.70600000000002</v>
      </c>
      <c r="L265" s="6">
        <v>17231.133999999998</v>
      </c>
      <c r="M265" s="6">
        <v>0</v>
      </c>
      <c r="N265" s="6">
        <v>16914.136999999999</v>
      </c>
      <c r="O265" s="6">
        <v>1213.1500000000001</v>
      </c>
      <c r="P265" s="7">
        <f>SUM(H265:O265)</f>
        <v>36541.817999999999</v>
      </c>
    </row>
    <row r="266" spans="2:16" s="8" customFormat="1" ht="34.9" hidden="1" customHeight="1">
      <c r="B266" s="15">
        <v>45383</v>
      </c>
      <c r="C266" s="10">
        <v>13391.579</v>
      </c>
      <c r="D266" s="10">
        <v>318.90300000000002</v>
      </c>
      <c r="E266" s="10">
        <v>6134.3040000000001</v>
      </c>
      <c r="F266" s="10">
        <v>5548.56</v>
      </c>
      <c r="G266" s="11">
        <f t="shared" ref="G266:G268" si="38">SUM(C266:F266)</f>
        <v>25393.346000000001</v>
      </c>
      <c r="H266" s="10">
        <v>17.088999999999999</v>
      </c>
      <c r="I266" s="10">
        <v>71.941000000000003</v>
      </c>
      <c r="J266" s="10">
        <v>272.09199999999998</v>
      </c>
      <c r="K266" s="10">
        <v>1544.1949999999999</v>
      </c>
      <c r="L266" s="10">
        <v>10056.996999999999</v>
      </c>
      <c r="M266" s="10">
        <v>0</v>
      </c>
      <c r="N266" s="10">
        <v>23664.59</v>
      </c>
      <c r="O266" s="10">
        <v>504.404</v>
      </c>
      <c r="P266" s="11">
        <f t="shared" ref="P266:P267" si="39">SUM(H266:O266)</f>
        <v>36131.307999999997</v>
      </c>
    </row>
    <row r="267" spans="2:16" s="8" customFormat="1" ht="34.9" hidden="1" customHeight="1">
      <c r="B267" s="14">
        <v>45413</v>
      </c>
      <c r="C267" s="6">
        <v>110672.057</v>
      </c>
      <c r="D267" s="6">
        <v>324.67200000000003</v>
      </c>
      <c r="E267" s="6">
        <v>7809.5630000000001</v>
      </c>
      <c r="F267" s="6">
        <v>7630.5529999999999</v>
      </c>
      <c r="G267" s="7">
        <f t="shared" si="38"/>
        <v>126436.845</v>
      </c>
      <c r="H267" s="6">
        <v>39.597000000000001</v>
      </c>
      <c r="I267" s="6">
        <v>78.805999999999997</v>
      </c>
      <c r="J267" s="6">
        <v>64.656999999999996</v>
      </c>
      <c r="K267" s="6">
        <v>3690.5810000000001</v>
      </c>
      <c r="L267" s="6">
        <v>12697.43</v>
      </c>
      <c r="M267" s="6">
        <v>0</v>
      </c>
      <c r="N267" s="6">
        <v>11717.906000000001</v>
      </c>
      <c r="O267" s="6">
        <v>2069.6799999999998</v>
      </c>
      <c r="P267" s="7">
        <f t="shared" si="39"/>
        <v>30358.656999999999</v>
      </c>
    </row>
    <row r="268" spans="2:16" s="8" customFormat="1" ht="34.9" hidden="1" customHeight="1">
      <c r="B268" s="15">
        <v>45445</v>
      </c>
      <c r="C268" s="10">
        <v>11518.324000000001</v>
      </c>
      <c r="D268" s="10">
        <v>512.73800000000006</v>
      </c>
      <c r="E268" s="10">
        <v>5044.7219999999998</v>
      </c>
      <c r="F268" s="10">
        <v>6376.9679999999998</v>
      </c>
      <c r="G268" s="11">
        <f t="shared" si="38"/>
        <v>23452.752</v>
      </c>
      <c r="H268" s="10">
        <v>9.1189999999999998</v>
      </c>
      <c r="I268" s="10">
        <v>121.126</v>
      </c>
      <c r="J268" s="10">
        <v>154.81899999999999</v>
      </c>
      <c r="K268" s="10">
        <v>2582.5509999999999</v>
      </c>
      <c r="L268" s="10">
        <v>10780.5</v>
      </c>
      <c r="M268" s="10">
        <v>0</v>
      </c>
      <c r="N268" s="10">
        <v>12926.62</v>
      </c>
      <c r="O268" s="10">
        <v>1558.2429999999999</v>
      </c>
      <c r="P268" s="11">
        <f t="shared" ref="P268:P274" si="40">SUM(H268:O268)</f>
        <v>28132.977999999999</v>
      </c>
    </row>
    <row r="269" spans="2:16" s="8" customFormat="1" ht="34.9" hidden="1" customHeight="1">
      <c r="B269" s="14">
        <v>45474</v>
      </c>
      <c r="C269" s="6">
        <v>17825.313999999998</v>
      </c>
      <c r="D269" s="6">
        <v>320.666</v>
      </c>
      <c r="E269" s="6">
        <v>8649.1319999999996</v>
      </c>
      <c r="F269" s="6">
        <v>8140.4009999999998</v>
      </c>
      <c r="G269" s="7">
        <f t="shared" ref="G269:G274" si="41">SUM(C269:F269)</f>
        <v>34935.512999999999</v>
      </c>
      <c r="H269" s="6">
        <v>87.747</v>
      </c>
      <c r="I269" s="6">
        <v>93.646000000000001</v>
      </c>
      <c r="J269" s="6">
        <v>2813.7919999999999</v>
      </c>
      <c r="K269" s="6">
        <v>3451.393</v>
      </c>
      <c r="L269" s="6">
        <v>12611.198</v>
      </c>
      <c r="M269" s="6">
        <v>0</v>
      </c>
      <c r="N269" s="6">
        <v>16940.11</v>
      </c>
      <c r="O269" s="6">
        <v>7982.3860000000004</v>
      </c>
      <c r="P269" s="7">
        <f t="shared" si="40"/>
        <v>43980.271999999997</v>
      </c>
    </row>
    <row r="270" spans="2:16" s="8" customFormat="1" ht="34.9" hidden="1" customHeight="1">
      <c r="B270" s="15">
        <v>45506</v>
      </c>
      <c r="C270" s="10">
        <v>19049.87</v>
      </c>
      <c r="D270" s="10">
        <v>742.11400000000003</v>
      </c>
      <c r="E270" s="10">
        <v>7265.9269999999997</v>
      </c>
      <c r="F270" s="10">
        <v>9658.8359999999993</v>
      </c>
      <c r="G270" s="11">
        <f t="shared" si="41"/>
        <v>36716.747000000003</v>
      </c>
      <c r="H270" s="10">
        <v>37.341999999999999</v>
      </c>
      <c r="I270" s="10">
        <v>5156.8440000000001</v>
      </c>
      <c r="J270" s="10">
        <v>28.997</v>
      </c>
      <c r="K270" s="10">
        <v>2908.1320000000001</v>
      </c>
      <c r="L270" s="10">
        <v>13768.433999999999</v>
      </c>
      <c r="M270" s="10">
        <v>0</v>
      </c>
      <c r="N270" s="10">
        <v>8842.5249999999996</v>
      </c>
      <c r="O270" s="10">
        <v>5625.8160000000007</v>
      </c>
      <c r="P270" s="11">
        <f t="shared" si="40"/>
        <v>36368.089999999997</v>
      </c>
    </row>
    <row r="271" spans="2:16" s="8" customFormat="1" ht="34.9" hidden="1" customHeight="1">
      <c r="B271" s="14">
        <v>45538</v>
      </c>
      <c r="C271" s="6">
        <v>15610.588</v>
      </c>
      <c r="D271" s="6">
        <v>342.93599999999998</v>
      </c>
      <c r="E271" s="6">
        <v>10573.046</v>
      </c>
      <c r="F271" s="6">
        <v>6635.4489999999996</v>
      </c>
      <c r="G271" s="7">
        <f t="shared" si="41"/>
        <v>33162.019</v>
      </c>
      <c r="H271" s="6">
        <v>25.808</v>
      </c>
      <c r="I271" s="6">
        <v>232.03299999999999</v>
      </c>
      <c r="J271" s="6">
        <v>60.372999999999998</v>
      </c>
      <c r="K271" s="6">
        <v>2901.2660000000001</v>
      </c>
      <c r="L271" s="6">
        <v>9461.2510000000002</v>
      </c>
      <c r="M271" s="6">
        <v>0</v>
      </c>
      <c r="N271" s="6">
        <v>20151.781999999999</v>
      </c>
      <c r="O271" s="6">
        <v>2534.7950000000001</v>
      </c>
      <c r="P271" s="7">
        <f t="shared" si="40"/>
        <v>35367.307999999997</v>
      </c>
    </row>
    <row r="272" spans="2:16" s="8" customFormat="1" ht="34.9" hidden="1" customHeight="1">
      <c r="B272" s="15">
        <v>45570</v>
      </c>
      <c r="C272" s="10">
        <v>24013.427</v>
      </c>
      <c r="D272" s="10">
        <v>425.07299999999998</v>
      </c>
      <c r="E272" s="10">
        <v>9667.4989999999998</v>
      </c>
      <c r="F272" s="10">
        <v>7434.9229999999998</v>
      </c>
      <c r="G272" s="11">
        <f t="shared" si="41"/>
        <v>41540.921999999999</v>
      </c>
      <c r="H272" s="10">
        <v>13.291</v>
      </c>
      <c r="I272" s="10">
        <v>299.68900000000002</v>
      </c>
      <c r="J272" s="10">
        <v>58.935000000000002</v>
      </c>
      <c r="K272" s="10">
        <v>3493.6750000000002</v>
      </c>
      <c r="L272" s="10">
        <v>6101.4009999999998</v>
      </c>
      <c r="M272" s="10">
        <v>0</v>
      </c>
      <c r="N272" s="10">
        <v>23831.418000000001</v>
      </c>
      <c r="O272" s="10">
        <v>2271.0990000000002</v>
      </c>
      <c r="P272" s="11">
        <f t="shared" si="40"/>
        <v>36069.508000000002</v>
      </c>
    </row>
    <row r="273" spans="2:16" s="8" customFormat="1" ht="34.9" hidden="1" customHeight="1">
      <c r="B273" s="14">
        <v>45597</v>
      </c>
      <c r="C273" s="6">
        <v>25012.528999999999</v>
      </c>
      <c r="D273" s="6">
        <v>357.86399999999998</v>
      </c>
      <c r="E273" s="6">
        <v>9373.2639999999992</v>
      </c>
      <c r="F273" s="6">
        <v>14214.132</v>
      </c>
      <c r="G273" s="7">
        <f t="shared" si="41"/>
        <v>48957.788999999997</v>
      </c>
      <c r="H273" s="6">
        <v>2.1160000000000001</v>
      </c>
      <c r="I273" s="6">
        <v>278.81</v>
      </c>
      <c r="J273" s="6">
        <v>77.287999999999997</v>
      </c>
      <c r="K273" s="6">
        <v>2393.6889999999999</v>
      </c>
      <c r="L273" s="6">
        <v>1679.058</v>
      </c>
      <c r="M273" s="6">
        <v>0</v>
      </c>
      <c r="N273" s="6">
        <v>21363.993999999999</v>
      </c>
      <c r="O273" s="6">
        <v>1586.886</v>
      </c>
      <c r="P273" s="7">
        <f t="shared" si="40"/>
        <v>27381.840999999997</v>
      </c>
    </row>
    <row r="274" spans="2:16" s="8" customFormat="1" ht="34.9" hidden="1" customHeight="1">
      <c r="B274" s="60">
        <v>45654</v>
      </c>
      <c r="C274" s="61">
        <v>29780.175999999999</v>
      </c>
      <c r="D274" s="61">
        <v>1141.22</v>
      </c>
      <c r="E274" s="61">
        <v>9216.5630000000001</v>
      </c>
      <c r="F274" s="61">
        <v>34852.832999999999</v>
      </c>
      <c r="G274" s="62">
        <f t="shared" si="41"/>
        <v>74990.792000000001</v>
      </c>
      <c r="H274" s="61">
        <v>120.547</v>
      </c>
      <c r="I274" s="61">
        <v>392.11</v>
      </c>
      <c r="J274" s="61">
        <v>313.38</v>
      </c>
      <c r="K274" s="61">
        <v>1414.059</v>
      </c>
      <c r="L274" s="61">
        <v>6775.1959999999999</v>
      </c>
      <c r="M274" s="61">
        <v>0</v>
      </c>
      <c r="N274" s="61">
        <v>25344.953000000001</v>
      </c>
      <c r="O274" s="61">
        <v>1559.7049999999999</v>
      </c>
      <c r="P274" s="62">
        <f t="shared" si="40"/>
        <v>35919.950000000004</v>
      </c>
    </row>
    <row r="275" spans="2:16" s="8" customFormat="1" ht="34.5" customHeight="1">
      <c r="B275" s="3">
        <v>2025</v>
      </c>
      <c r="C275" s="12"/>
      <c r="D275" s="12"/>
      <c r="E275" s="12"/>
      <c r="F275" s="12"/>
      <c r="G275" s="13"/>
      <c r="H275" s="12"/>
      <c r="I275" s="12"/>
      <c r="J275" s="12"/>
      <c r="K275" s="12"/>
      <c r="L275" s="12"/>
      <c r="M275" s="12"/>
      <c r="N275" s="12"/>
      <c r="O275" s="12"/>
      <c r="P275" s="13"/>
    </row>
    <row r="276" spans="2:16" s="8" customFormat="1" ht="34.9" hidden="1" customHeight="1">
      <c r="B276" s="14">
        <v>45658</v>
      </c>
      <c r="C276" s="6">
        <v>47760.872000000003</v>
      </c>
      <c r="D276" s="6">
        <v>4503.3239999999996</v>
      </c>
      <c r="E276" s="6">
        <v>7216.9660000000003</v>
      </c>
      <c r="F276" s="6">
        <v>4599.1149999999998</v>
      </c>
      <c r="G276" s="7">
        <f t="shared" ref="G276:G289" si="42">SUM(C276:F276)</f>
        <v>64080.277000000002</v>
      </c>
      <c r="H276" s="6">
        <v>3.1720000000000002</v>
      </c>
      <c r="I276" s="6">
        <v>478.03100000000001</v>
      </c>
      <c r="J276" s="6">
        <v>138.60300000000001</v>
      </c>
      <c r="K276" s="6">
        <v>1072.9929999999999</v>
      </c>
      <c r="L276" s="6">
        <v>3391.0030000000002</v>
      </c>
      <c r="M276" s="6">
        <v>0</v>
      </c>
      <c r="N276" s="6">
        <v>40973.292999999998</v>
      </c>
      <c r="O276" s="6">
        <v>528.12599999999998</v>
      </c>
      <c r="P276" s="7">
        <f t="shared" ref="P276:P279" si="43">SUM(H276:O276)</f>
        <v>46585.220999999998</v>
      </c>
    </row>
    <row r="277" spans="2:16" s="8" customFormat="1" ht="34.9" hidden="1" customHeight="1">
      <c r="B277" s="15">
        <v>45689</v>
      </c>
      <c r="C277" s="10">
        <v>35999.75</v>
      </c>
      <c r="D277" s="10">
        <v>870.50099999999998</v>
      </c>
      <c r="E277" s="10">
        <v>4401.9470000000001</v>
      </c>
      <c r="F277" s="10">
        <v>6396.1440000000002</v>
      </c>
      <c r="G277" s="11">
        <f>SUM(C277:F277)</f>
        <v>47668.341999999997</v>
      </c>
      <c r="H277" s="10">
        <v>239.762</v>
      </c>
      <c r="I277" s="10">
        <v>522.55700000000002</v>
      </c>
      <c r="J277" s="10">
        <v>208.50700000000001</v>
      </c>
      <c r="K277" s="10">
        <v>1591.4280000000001</v>
      </c>
      <c r="L277" s="10">
        <v>6634.2520000000004</v>
      </c>
      <c r="M277" s="10">
        <v>0</v>
      </c>
      <c r="N277" s="10">
        <v>36921.254999999997</v>
      </c>
      <c r="O277" s="10">
        <v>1195.991</v>
      </c>
      <c r="P277" s="11">
        <f>SUM(H277:O277)</f>
        <v>47313.752</v>
      </c>
    </row>
    <row r="278" spans="2:16" s="8" customFormat="1" ht="34.9" hidden="1" customHeight="1">
      <c r="B278" s="14">
        <v>45717</v>
      </c>
      <c r="C278" s="6">
        <v>27676.172999999999</v>
      </c>
      <c r="D278" s="6">
        <v>171.364</v>
      </c>
      <c r="E278" s="6">
        <v>1678.932</v>
      </c>
      <c r="F278" s="6">
        <v>9774.5879999999997</v>
      </c>
      <c r="G278" s="7">
        <f t="shared" si="42"/>
        <v>39301.057000000001</v>
      </c>
      <c r="H278" s="6">
        <v>259.483</v>
      </c>
      <c r="I278" s="6">
        <v>266.37799999999999</v>
      </c>
      <c r="J278" s="6">
        <v>561.32100000000003</v>
      </c>
      <c r="K278" s="6">
        <v>615.67100000000005</v>
      </c>
      <c r="L278" s="6">
        <v>12181.166999999999</v>
      </c>
      <c r="M278" s="6">
        <v>0</v>
      </c>
      <c r="N278" s="6">
        <v>32071.196</v>
      </c>
      <c r="O278" s="6">
        <v>1204.3789999999999</v>
      </c>
      <c r="P278" s="7">
        <f t="shared" si="43"/>
        <v>47159.595000000001</v>
      </c>
    </row>
    <row r="279" spans="2:16" s="8" customFormat="1" ht="34.9" hidden="1" customHeight="1">
      <c r="B279" s="15">
        <v>45748</v>
      </c>
      <c r="C279" s="10">
        <v>37224.192000000003</v>
      </c>
      <c r="D279" s="10">
        <v>386.15600000000001</v>
      </c>
      <c r="E279" s="10">
        <v>1729.05</v>
      </c>
      <c r="F279" s="10">
        <v>7538.08</v>
      </c>
      <c r="G279" s="11">
        <f t="shared" si="42"/>
        <v>46877.47800000001</v>
      </c>
      <c r="H279" s="10">
        <v>27.274999999999999</v>
      </c>
      <c r="I279" s="10">
        <v>531.54100000000005</v>
      </c>
      <c r="J279" s="10">
        <v>103.01</v>
      </c>
      <c r="K279" s="10">
        <v>1008.977</v>
      </c>
      <c r="L279" s="10">
        <v>12085.472</v>
      </c>
      <c r="M279" s="10">
        <v>0</v>
      </c>
      <c r="N279" s="10">
        <v>43390.038999999997</v>
      </c>
      <c r="O279" s="10">
        <v>577.34900000000005</v>
      </c>
      <c r="P279" s="11">
        <f t="shared" si="43"/>
        <v>57723.663</v>
      </c>
    </row>
    <row r="280" spans="2:16" s="8" customFormat="1" ht="34.9" hidden="1" customHeight="1">
      <c r="B280" s="14">
        <v>45778</v>
      </c>
      <c r="C280" s="6">
        <v>67726.237999999998</v>
      </c>
      <c r="D280" s="6">
        <v>2123.8530000000001</v>
      </c>
      <c r="E280" s="6">
        <v>3359.3049999999998</v>
      </c>
      <c r="F280" s="6">
        <v>8965.1370000000006</v>
      </c>
      <c r="G280" s="7">
        <f t="shared" si="42"/>
        <v>82174.532999999996</v>
      </c>
      <c r="H280" s="6">
        <v>158.83799999999999</v>
      </c>
      <c r="I280" s="6">
        <v>279.96600000000001</v>
      </c>
      <c r="J280" s="6">
        <v>162.31</v>
      </c>
      <c r="K280" s="6">
        <v>1634.8979999999999</v>
      </c>
      <c r="L280" s="6">
        <v>18762.764999999999</v>
      </c>
      <c r="M280" s="6">
        <v>0</v>
      </c>
      <c r="N280" s="6">
        <v>38274.129999999997</v>
      </c>
      <c r="O280" s="6">
        <v>451.72800000000001</v>
      </c>
      <c r="P280" s="7">
        <f t="shared" ref="P280:P289" si="44">SUM(H280:O280)</f>
        <v>59724.634999999995</v>
      </c>
    </row>
    <row r="281" spans="2:16" s="8" customFormat="1" ht="34.9" hidden="1" customHeight="1">
      <c r="B281" s="15">
        <v>45810</v>
      </c>
      <c r="C281" s="10">
        <v>62573.786</v>
      </c>
      <c r="D281" s="10">
        <v>238.28399999999999</v>
      </c>
      <c r="E281" s="10">
        <v>2544.549</v>
      </c>
      <c r="F281" s="10">
        <v>5904.5230000000001</v>
      </c>
      <c r="G281" s="11">
        <f t="shared" si="42"/>
        <v>71261.141999999993</v>
      </c>
      <c r="H281" s="10">
        <v>3.5049999999999999</v>
      </c>
      <c r="I281" s="10">
        <v>388.84899999999999</v>
      </c>
      <c r="J281" s="10">
        <v>562.34500000000003</v>
      </c>
      <c r="K281" s="10">
        <v>1533.279</v>
      </c>
      <c r="L281" s="10">
        <v>29419.274000000001</v>
      </c>
      <c r="M281" s="10">
        <v>0</v>
      </c>
      <c r="N281" s="10">
        <v>21507.136999999999</v>
      </c>
      <c r="O281" s="10">
        <v>225.18899999999999</v>
      </c>
      <c r="P281" s="11">
        <f t="shared" si="44"/>
        <v>53639.577999999994</v>
      </c>
    </row>
    <row r="282" spans="2:16" s="8" customFormat="1" ht="34.9" hidden="1" customHeight="1">
      <c r="B282" s="14">
        <v>45863</v>
      </c>
      <c r="C282" s="6">
        <v>53329.949000000001</v>
      </c>
      <c r="D282" s="6">
        <v>5680.1540000000005</v>
      </c>
      <c r="E282" s="6">
        <v>5303.7809999999999</v>
      </c>
      <c r="F282" s="6">
        <v>32617.392</v>
      </c>
      <c r="G282" s="7">
        <f t="shared" si="42"/>
        <v>96931.276000000013</v>
      </c>
      <c r="H282" s="6">
        <v>87.328999999999994</v>
      </c>
      <c r="I282" s="6">
        <v>830.45100000000002</v>
      </c>
      <c r="J282" s="6">
        <v>452.03399999999999</v>
      </c>
      <c r="K282" s="6">
        <v>1630.375</v>
      </c>
      <c r="L282" s="6">
        <v>35158.021999999997</v>
      </c>
      <c r="M282" s="6">
        <v>0</v>
      </c>
      <c r="N282" s="6">
        <v>25517.559000000001</v>
      </c>
      <c r="O282" s="6">
        <v>1122.2529999999999</v>
      </c>
      <c r="P282" s="7">
        <f t="shared" si="44"/>
        <v>64798.022999999994</v>
      </c>
    </row>
    <row r="283" spans="2:16" s="8" customFormat="1" ht="34.9" hidden="1" customHeight="1">
      <c r="B283" s="15">
        <v>45894</v>
      </c>
      <c r="C283" s="10">
        <v>38553.118999999999</v>
      </c>
      <c r="D283" s="10">
        <v>436.92500000000001</v>
      </c>
      <c r="E283" s="10">
        <v>5143.6080000000002</v>
      </c>
      <c r="F283" s="10">
        <v>32402.023000000001</v>
      </c>
      <c r="G283" s="11">
        <f t="shared" si="42"/>
        <v>76535.675000000003</v>
      </c>
      <c r="H283" s="10">
        <v>12.555999999999999</v>
      </c>
      <c r="I283" s="10">
        <v>301.99200000000002</v>
      </c>
      <c r="J283" s="10">
        <v>170.85</v>
      </c>
      <c r="K283" s="10">
        <v>2640.5189999999998</v>
      </c>
      <c r="L283" s="10">
        <v>10605.136</v>
      </c>
      <c r="M283" s="10">
        <v>0</v>
      </c>
      <c r="N283" s="10">
        <v>39494.101999999999</v>
      </c>
      <c r="O283" s="10">
        <v>1401.713</v>
      </c>
      <c r="P283" s="11">
        <f t="shared" si="44"/>
        <v>54626.868000000002</v>
      </c>
    </row>
    <row r="284" spans="2:16" s="8" customFormat="1" ht="34.9" customHeight="1">
      <c r="B284" s="14">
        <v>45925</v>
      </c>
      <c r="C284" s="6">
        <v>46714.544000000002</v>
      </c>
      <c r="D284" s="6">
        <v>258.73</v>
      </c>
      <c r="E284" s="6">
        <v>4185.8680000000004</v>
      </c>
      <c r="F284" s="6">
        <v>22523.571</v>
      </c>
      <c r="G284" s="7">
        <f t="shared" si="42"/>
        <v>73682.713000000003</v>
      </c>
      <c r="H284" s="6">
        <v>305.43200000000002</v>
      </c>
      <c r="I284" s="6">
        <v>263.04199999999997</v>
      </c>
      <c r="J284" s="6">
        <v>609.71400000000006</v>
      </c>
      <c r="K284" s="6">
        <v>2345.2539999999999</v>
      </c>
      <c r="L284" s="6">
        <v>9980.518</v>
      </c>
      <c r="M284" s="6">
        <v>0</v>
      </c>
      <c r="N284" s="6">
        <v>53959.402000000002</v>
      </c>
      <c r="O284" s="6">
        <v>647.62099999999998</v>
      </c>
      <c r="P284" s="7">
        <f t="shared" si="44"/>
        <v>68110.982999999993</v>
      </c>
    </row>
    <row r="285" spans="2:16" s="8" customFormat="1" ht="34.9" customHeight="1">
      <c r="B285" s="15">
        <v>45955</v>
      </c>
      <c r="C285" s="10">
        <v>100649.094</v>
      </c>
      <c r="D285" s="10">
        <v>3781.5120000000002</v>
      </c>
      <c r="E285" s="10">
        <v>6058.8419999999996</v>
      </c>
      <c r="F285" s="10">
        <v>19252.757000000001</v>
      </c>
      <c r="G285" s="11">
        <f t="shared" si="42"/>
        <v>129742.205</v>
      </c>
      <c r="H285" s="10">
        <v>180.512</v>
      </c>
      <c r="I285" s="10">
        <v>262.00599999999997</v>
      </c>
      <c r="J285" s="10">
        <v>4937.3220000000001</v>
      </c>
      <c r="K285" s="10">
        <v>2026.077</v>
      </c>
      <c r="L285" s="10">
        <v>7881.3829999999998</v>
      </c>
      <c r="M285" s="10">
        <v>0</v>
      </c>
      <c r="N285" s="10">
        <v>57350.44</v>
      </c>
      <c r="O285" s="10">
        <v>624.64599999999996</v>
      </c>
      <c r="P285" s="11">
        <f t="shared" si="44"/>
        <v>73262.385999999999</v>
      </c>
    </row>
    <row r="286" spans="2:16" s="8" customFormat="1" ht="34.9" customHeight="1">
      <c r="B286" s="14">
        <v>45986</v>
      </c>
      <c r="C286" s="6">
        <v>86470.876000000004</v>
      </c>
      <c r="D286" s="6">
        <v>552.96699999999998</v>
      </c>
      <c r="E286" s="6">
        <v>5319.4809999999998</v>
      </c>
      <c r="F286" s="6">
        <v>15877.978999999999</v>
      </c>
      <c r="G286" s="7">
        <f t="shared" si="42"/>
        <v>108221.30300000001</v>
      </c>
      <c r="H286" s="6">
        <v>430.78800000000001</v>
      </c>
      <c r="I286" s="6">
        <v>339.38900000000001</v>
      </c>
      <c r="J286" s="6">
        <v>369.23</v>
      </c>
      <c r="K286" s="6">
        <v>1605.912</v>
      </c>
      <c r="L286" s="6">
        <v>9366.2620000000006</v>
      </c>
      <c r="M286" s="6">
        <v>0</v>
      </c>
      <c r="N286" s="6">
        <v>36137.669000000002</v>
      </c>
      <c r="O286" s="6">
        <v>620.85199999999998</v>
      </c>
      <c r="P286" s="7">
        <f t="shared" si="44"/>
        <v>48870.101999999999</v>
      </c>
    </row>
    <row r="287" spans="2:16" s="8" customFormat="1" ht="34.9" customHeight="1">
      <c r="B287" s="60">
        <v>46016</v>
      </c>
      <c r="C287" s="61">
        <v>75020.951000000001</v>
      </c>
      <c r="D287" s="61">
        <v>1750.347</v>
      </c>
      <c r="E287" s="61">
        <v>3637.154</v>
      </c>
      <c r="F287" s="61">
        <v>20386.703000000001</v>
      </c>
      <c r="G287" s="62">
        <f t="shared" si="42"/>
        <v>100795.155</v>
      </c>
      <c r="H287" s="61">
        <v>109.051</v>
      </c>
      <c r="I287" s="61">
        <v>437.96100000000001</v>
      </c>
      <c r="J287" s="61">
        <v>654.21900000000005</v>
      </c>
      <c r="K287" s="61">
        <v>1905.3330000000001</v>
      </c>
      <c r="L287" s="61">
        <v>23524.811000000002</v>
      </c>
      <c r="M287" s="61">
        <v>0</v>
      </c>
      <c r="N287" s="61">
        <v>19963.347000000002</v>
      </c>
      <c r="O287" s="61">
        <v>730.49800000000005</v>
      </c>
      <c r="P287" s="62">
        <f t="shared" si="44"/>
        <v>47325.22</v>
      </c>
    </row>
    <row r="288" spans="2:16" s="8" customFormat="1" ht="34.5" customHeight="1">
      <c r="B288" s="3">
        <v>2026</v>
      </c>
      <c r="C288" s="12"/>
      <c r="D288" s="12"/>
      <c r="E288" s="12"/>
      <c r="F288" s="12"/>
      <c r="G288" s="13"/>
      <c r="H288" s="12"/>
      <c r="I288" s="12"/>
      <c r="J288" s="12"/>
      <c r="K288" s="12"/>
      <c r="L288" s="12"/>
      <c r="M288" s="12"/>
      <c r="N288" s="12"/>
      <c r="O288" s="12"/>
      <c r="P288" s="13"/>
    </row>
    <row r="289" spans="2:16" s="8" customFormat="1" ht="34.9" customHeight="1">
      <c r="B289" s="14">
        <v>46023</v>
      </c>
      <c r="C289" s="6">
        <v>71550.553</v>
      </c>
      <c r="D289" s="6">
        <v>486.04199999999997</v>
      </c>
      <c r="E289" s="6">
        <v>4278.5730000000003</v>
      </c>
      <c r="F289" s="6">
        <v>19139.530999999999</v>
      </c>
      <c r="G289" s="7">
        <f t="shared" si="42"/>
        <v>95454.699000000008</v>
      </c>
      <c r="H289" s="6">
        <v>55.006999999999998</v>
      </c>
      <c r="I289" s="6">
        <v>203.54300000000001</v>
      </c>
      <c r="J289" s="6">
        <v>538.1</v>
      </c>
      <c r="K289" s="6">
        <v>1398.508</v>
      </c>
      <c r="L289" s="6">
        <v>22571.732</v>
      </c>
      <c r="M289" s="6">
        <v>0</v>
      </c>
      <c r="N289" s="6">
        <v>17819.665000000001</v>
      </c>
      <c r="O289" s="6">
        <v>763.54</v>
      </c>
      <c r="P289" s="7">
        <f t="shared" si="44"/>
        <v>43350.095000000001</v>
      </c>
    </row>
    <row r="290" spans="2:16" s="8" customFormat="1" ht="34.9" customHeight="1">
      <c r="B290" s="15">
        <v>46054</v>
      </c>
      <c r="C290" s="10">
        <v>60051.368999999999</v>
      </c>
      <c r="D290" s="10">
        <v>976.95699999999999</v>
      </c>
      <c r="E290" s="10">
        <v>3794.98</v>
      </c>
      <c r="F290" s="10">
        <v>20633.071</v>
      </c>
      <c r="G290" s="11">
        <f>SUM(C290:F290)</f>
        <v>85456.377000000008</v>
      </c>
      <c r="H290" s="10">
        <v>52.749000000000002</v>
      </c>
      <c r="I290" s="10">
        <v>350.23399999999998</v>
      </c>
      <c r="J290" s="10">
        <v>411.154</v>
      </c>
      <c r="K290" s="10">
        <v>869.09900000000005</v>
      </c>
      <c r="L290" s="10">
        <v>30519.278999999999</v>
      </c>
      <c r="M290" s="10">
        <v>0</v>
      </c>
      <c r="N290" s="10">
        <v>47303.726999999999</v>
      </c>
      <c r="O290" s="10">
        <v>746.97299999999996</v>
      </c>
      <c r="P290" s="11">
        <f>SUM(H290:O290)</f>
        <v>80253.214999999997</v>
      </c>
    </row>
    <row r="291" spans="2:16" s="8" customFormat="1" ht="34.9" customHeight="1">
      <c r="B291" s="14">
        <v>46082</v>
      </c>
      <c r="C291" s="6">
        <v>66354.315000000002</v>
      </c>
      <c r="D291" s="6">
        <v>890.80399999999997</v>
      </c>
      <c r="E291" s="6">
        <v>2008.046</v>
      </c>
      <c r="F291" s="6">
        <v>10219.703</v>
      </c>
      <c r="G291" s="7">
        <f t="shared" ref="G291:G297" si="45">SUM(C291:F291)</f>
        <v>79472.868000000002</v>
      </c>
      <c r="H291" s="6">
        <v>5.9509999999999996</v>
      </c>
      <c r="I291" s="6">
        <v>384.28</v>
      </c>
      <c r="J291" s="6">
        <v>257.60199999999998</v>
      </c>
      <c r="K291" s="6">
        <v>528.90200000000004</v>
      </c>
      <c r="L291" s="6">
        <v>32400</v>
      </c>
      <c r="M291" s="6">
        <v>0</v>
      </c>
      <c r="N291" s="6">
        <v>38381.944000000003</v>
      </c>
      <c r="O291" s="6">
        <v>619.89300000000003</v>
      </c>
      <c r="P291" s="7">
        <f t="shared" ref="P291:P297" si="46">SUM(H291:O291)</f>
        <v>72578.572</v>
      </c>
    </row>
    <row r="292" spans="2:16" s="8" customFormat="1" ht="34.9" customHeight="1">
      <c r="B292" s="15">
        <v>46113</v>
      </c>
      <c r="C292" s="10">
        <v>78190.59</v>
      </c>
      <c r="D292" s="10">
        <v>1350.414</v>
      </c>
      <c r="E292" s="10">
        <v>4168.8869999999997</v>
      </c>
      <c r="F292" s="10">
        <v>11613.864</v>
      </c>
      <c r="G292" s="11">
        <f t="shared" si="45"/>
        <v>95323.755000000005</v>
      </c>
      <c r="H292" s="10">
        <v>221.87899999999999</v>
      </c>
      <c r="I292" s="10">
        <v>1957.27</v>
      </c>
      <c r="J292" s="10">
        <v>49.787999999999997</v>
      </c>
      <c r="K292" s="10">
        <v>1174.904</v>
      </c>
      <c r="L292" s="10">
        <v>16784.691999999999</v>
      </c>
      <c r="M292" s="10">
        <v>0</v>
      </c>
      <c r="N292" s="10">
        <v>99729.83</v>
      </c>
      <c r="O292" s="10">
        <v>753.87599999999998</v>
      </c>
      <c r="P292" s="11">
        <f t="shared" si="46"/>
        <v>120672.239</v>
      </c>
    </row>
    <row r="293" spans="2:16" s="8" customFormat="1" ht="34.9" customHeight="1">
      <c r="B293" s="14">
        <v>46143</v>
      </c>
      <c r="C293" s="6">
        <v>93971.126000000004</v>
      </c>
      <c r="D293" s="6">
        <v>830.62</v>
      </c>
      <c r="E293" s="6">
        <v>5130.38</v>
      </c>
      <c r="F293" s="6">
        <v>19614.605</v>
      </c>
      <c r="G293" s="7">
        <f t="shared" si="45"/>
        <v>119546.731</v>
      </c>
      <c r="H293" s="6">
        <v>13.93</v>
      </c>
      <c r="I293" s="6">
        <v>466.67599999999999</v>
      </c>
      <c r="J293" s="6">
        <v>296.81400000000002</v>
      </c>
      <c r="K293" s="6">
        <v>1106.2819999999999</v>
      </c>
      <c r="L293" s="6">
        <v>4560.143</v>
      </c>
      <c r="M293" s="6">
        <v>0</v>
      </c>
      <c r="N293" s="6">
        <v>56437.178</v>
      </c>
      <c r="O293" s="6">
        <v>2705.4050000000002</v>
      </c>
      <c r="P293" s="7">
        <f t="shared" si="46"/>
        <v>65586.428</v>
      </c>
    </row>
    <row r="294" spans="2:16" s="8" customFormat="1" ht="34.9" customHeight="1">
      <c r="B294" s="15">
        <v>46175</v>
      </c>
      <c r="C294" s="10">
        <v>96436.994999999995</v>
      </c>
      <c r="D294" s="10">
        <v>932.43799999999999</v>
      </c>
      <c r="E294" s="10">
        <v>3628.3270000000002</v>
      </c>
      <c r="F294" s="10">
        <v>17896.044000000002</v>
      </c>
      <c r="G294" s="11">
        <f t="shared" si="45"/>
        <v>118893.804</v>
      </c>
      <c r="H294" s="10">
        <v>3.15</v>
      </c>
      <c r="I294" s="10">
        <v>600.58100000000002</v>
      </c>
      <c r="J294" s="10">
        <v>411.339</v>
      </c>
      <c r="K294" s="10">
        <v>1375.9739999999999</v>
      </c>
      <c r="L294" s="10">
        <v>6857.8680000000004</v>
      </c>
      <c r="M294" s="10">
        <v>0</v>
      </c>
      <c r="N294" s="10">
        <v>52385.995999999999</v>
      </c>
      <c r="O294" s="10">
        <v>2467.9290000000001</v>
      </c>
      <c r="P294" s="11">
        <f t="shared" si="46"/>
        <v>64102.837</v>
      </c>
    </row>
    <row r="295" spans="2:16" s="8" customFormat="1" ht="34.9" customHeight="1">
      <c r="B295" s="14">
        <v>46229</v>
      </c>
      <c r="C295" s="6">
        <v>81070.804000000004</v>
      </c>
      <c r="D295" s="6">
        <v>915.56299999999999</v>
      </c>
      <c r="E295" s="6">
        <v>6405.7359999999999</v>
      </c>
      <c r="F295" s="6">
        <v>41769.684000000001</v>
      </c>
      <c r="G295" s="7">
        <f t="shared" si="45"/>
        <v>130161.78700000001</v>
      </c>
      <c r="H295" s="6">
        <v>1.46</v>
      </c>
      <c r="I295" s="6">
        <v>890.07299999999998</v>
      </c>
      <c r="J295" s="6">
        <v>298.31099999999998</v>
      </c>
      <c r="K295" s="6">
        <v>1586.173</v>
      </c>
      <c r="L295" s="6">
        <v>8116.7749999999996</v>
      </c>
      <c r="M295" s="6">
        <v>0</v>
      </c>
      <c r="N295" s="6">
        <v>60046.692999999999</v>
      </c>
      <c r="O295" s="6">
        <v>3148.5909999999999</v>
      </c>
      <c r="P295" s="7">
        <f t="shared" si="46"/>
        <v>74088.076000000001</v>
      </c>
    </row>
    <row r="296" spans="2:16" s="8" customFormat="1" ht="34.9" customHeight="1">
      <c r="B296" s="15">
        <v>46252</v>
      </c>
      <c r="C296" s="10">
        <v>71964.248000000007</v>
      </c>
      <c r="D296" s="10">
        <v>998.57500000000005</v>
      </c>
      <c r="E296" s="10">
        <v>5903.3209999999999</v>
      </c>
      <c r="F296" s="10">
        <v>33514.373</v>
      </c>
      <c r="G296" s="11">
        <f t="shared" si="45"/>
        <v>112380.51699999999</v>
      </c>
      <c r="H296" s="10">
        <v>0.316</v>
      </c>
      <c r="I296" s="10">
        <v>426.53100000000001</v>
      </c>
      <c r="J296" s="10">
        <v>537.125</v>
      </c>
      <c r="K296" s="10">
        <v>7346.4669999999996</v>
      </c>
      <c r="L296" s="10">
        <v>6723.7520000000004</v>
      </c>
      <c r="M296" s="10">
        <v>0</v>
      </c>
      <c r="N296" s="10">
        <v>66652.347999999998</v>
      </c>
      <c r="O296" s="10">
        <v>3942.41</v>
      </c>
      <c r="P296" s="11">
        <f t="shared" si="46"/>
        <v>85628.949000000008</v>
      </c>
    </row>
    <row r="297" spans="2:16" s="8" customFormat="1" ht="34.9" customHeight="1">
      <c r="B297" s="155">
        <v>46266</v>
      </c>
      <c r="C297" s="156">
        <v>69637.778000000006</v>
      </c>
      <c r="D297" s="156">
        <v>775.94200000000001</v>
      </c>
      <c r="E297" s="156">
        <v>13157.421</v>
      </c>
      <c r="F297" s="156">
        <v>46572.851999999999</v>
      </c>
      <c r="G297" s="157">
        <f t="shared" si="45"/>
        <v>130143.993</v>
      </c>
      <c r="H297" s="156">
        <v>155.964</v>
      </c>
      <c r="I297" s="156">
        <v>461.34899999999999</v>
      </c>
      <c r="J297" s="156">
        <v>550.97699999999998</v>
      </c>
      <c r="K297" s="156">
        <v>3130.8049999999998</v>
      </c>
      <c r="L297" s="156">
        <v>14568.188</v>
      </c>
      <c r="M297" s="156">
        <v>0</v>
      </c>
      <c r="N297" s="156">
        <v>66266.455000000002</v>
      </c>
      <c r="O297" s="156">
        <v>6408.4660000000003</v>
      </c>
      <c r="P297" s="157">
        <f t="shared" si="46"/>
        <v>91542.203999999998</v>
      </c>
    </row>
    <row r="298" spans="2:16" s="8" customFormat="1" ht="9.75" customHeight="1">
      <c r="B298" s="71"/>
      <c r="C298" s="72"/>
      <c r="D298" s="72"/>
      <c r="E298" s="72"/>
      <c r="F298" s="72"/>
      <c r="G298" s="73"/>
      <c r="H298" s="72"/>
      <c r="I298" s="72"/>
      <c r="J298" s="72"/>
      <c r="K298" s="72"/>
      <c r="L298" s="72"/>
      <c r="M298" s="72"/>
      <c r="N298" s="72"/>
      <c r="O298" s="72"/>
      <c r="P298" s="73"/>
    </row>
    <row r="299" spans="2:16" s="78" customFormat="1" ht="22.5" customHeight="1">
      <c r="B299" s="74" t="s">
        <v>150</v>
      </c>
      <c r="C299" s="75"/>
      <c r="D299" s="75"/>
      <c r="E299" s="75"/>
      <c r="F299" s="75"/>
      <c r="G299" s="75"/>
      <c r="H299" s="76"/>
      <c r="I299" s="76"/>
      <c r="J299" s="76"/>
      <c r="K299" s="76"/>
      <c r="L299" s="76"/>
      <c r="M299" s="76"/>
      <c r="N299" s="76"/>
      <c r="O299" s="76"/>
      <c r="P299" s="77" t="s">
        <v>93</v>
      </c>
    </row>
    <row r="300" spans="2:16" s="2" customFormat="1" ht="46.5" customHeight="1">
      <c r="B300" s="165" t="s">
        <v>148</v>
      </c>
      <c r="C300" s="165"/>
      <c r="D300" s="165"/>
      <c r="E300" s="165"/>
      <c r="F300" s="165"/>
      <c r="G300" s="165"/>
      <c r="K300" s="163" t="s">
        <v>149</v>
      </c>
      <c r="L300" s="164"/>
      <c r="M300" s="164"/>
      <c r="N300" s="164"/>
      <c r="O300" s="164"/>
      <c r="P300" s="164"/>
    </row>
    <row r="301" spans="2:16" s="2" customFormat="1" ht="38.25" customHeight="1">
      <c r="B301" s="165" t="s">
        <v>161</v>
      </c>
      <c r="C301" s="165"/>
      <c r="D301" s="165"/>
      <c r="E301" s="165"/>
      <c r="F301" s="165"/>
      <c r="G301" s="165"/>
      <c r="H301" s="165"/>
      <c r="K301" s="163" t="s">
        <v>162</v>
      </c>
      <c r="L301" s="164"/>
      <c r="M301" s="164"/>
      <c r="N301" s="164"/>
      <c r="O301" s="164"/>
      <c r="P301" s="164"/>
    </row>
    <row r="302" spans="2:16" ht="1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2:16" ht="1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2:16" ht="1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2:16" ht="1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2:16" ht="1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2:16" ht="1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2:16" ht="1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2:16" ht="1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2:16" ht="1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2:16" ht="1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2:16" ht="1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2:16" ht="1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2:16" ht="1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2:16" ht="1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2:16" ht="1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2:16" ht="1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2:16" ht="1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2:16" ht="1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2:16" ht="1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2:16" ht="1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2:16" ht="1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2:16" ht="1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2:16" ht="1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2:16" ht="1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2:16" ht="1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2:16" ht="1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2:16" ht="1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2:16" ht="1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2:16" ht="1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2:16" ht="1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2:16" ht="1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2:16" ht="1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2:16" ht="1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2:16" ht="1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2:16" ht="1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2:16" ht="1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2:16" ht="1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2:16" ht="1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2:16" ht="1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2:16" ht="1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2:16" ht="1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2:16" ht="1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2:16" ht="1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2:16" ht="1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2:16" ht="1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2:16" ht="1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2:16" ht="1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2:16" ht="1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2:16" ht="1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2:16" ht="1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2:16" ht="1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2:16" ht="1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2:16" ht="1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2:16" ht="1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2:16" ht="1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2:16" ht="1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2:16" ht="1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2:16" ht="1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2:16" ht="1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2:16" ht="1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2:16" ht="1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2:16" ht="1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2:16" ht="1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2:16" ht="1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2:16" ht="1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2:16" ht="1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2:16" ht="1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2:16" ht="1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2:16" ht="1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2:16" ht="1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2:16" ht="1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2:16" ht="1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2:16" ht="15"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/>
      <c r="N374"/>
      <c r="O374"/>
      <c r="P374"/>
    </row>
    <row r="375" spans="2:16" ht="1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2:16" ht="1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2:16" ht="1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2:16" ht="1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2:16" ht="1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2:16" ht="1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2:16" ht="1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2:16" ht="1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2:16" ht="1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2:16" ht="1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2:16" ht="1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2:16" ht="1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2:16" ht="1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2:16" ht="1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2:16" ht="1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2:16" ht="1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2:16" ht="1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2:16" ht="1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2:16" ht="1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2:16" ht="1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2:16" ht="1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2:16" ht="1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2:16" ht="1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2:16" ht="1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2:16" ht="1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2:16" ht="1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2:16" ht="1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2:16" ht="1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2:16" ht="1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2:16" ht="1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2:16" ht="1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2:16" ht="1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2:16" ht="1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2:16" ht="1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2:16" ht="1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2:16" ht="1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2:16" ht="1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2:16" ht="1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2:16" ht="1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2:16" ht="1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2:16" ht="1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2:16" ht="1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2:16" ht="1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2:16" ht="1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2:16" ht="1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2:16" ht="1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2:16" ht="1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2:16" ht="1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2:16" ht="1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spans="2:16" ht="1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2:16" ht="1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spans="2:16" ht="1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spans="2:16" ht="1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spans="2:16" ht="1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spans="2:16" ht="1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spans="2:16" ht="1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spans="2:16" ht="1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spans="2:16" ht="1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spans="2:16" ht="1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spans="2:16" ht="1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2:16" ht="1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spans="2:16" ht="1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spans="2:16" ht="1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spans="2:16" ht="1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spans="2:16" ht="1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spans="2:16" ht="1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spans="2:16" ht="1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spans="2:16" ht="1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spans="2:16" ht="1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spans="2:16" ht="1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2:16" ht="1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spans="2:16" ht="1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spans="2:16" ht="1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2:16" ht="1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spans="2:16" ht="1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spans="2:16" ht="1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spans="2:16" ht="1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spans="2:16" ht="1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spans="2:16" ht="1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spans="2:16" ht="1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2:16" ht="1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spans="2:16" ht="1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spans="2:16" ht="1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spans="2:16" ht="1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spans="2:16" ht="1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spans="2:16" ht="1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spans="2:16" ht="1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spans="2:16" ht="1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spans="2:16" ht="1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spans="2:16" ht="1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2:16" ht="1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spans="2:16" ht="1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spans="2:16" ht="1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spans="2:16" ht="1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spans="2:16" ht="1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spans="2:16" ht="1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spans="2:16" ht="1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spans="2:16" ht="1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spans="2:16" ht="1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spans="2:16" ht="1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2:16" ht="1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spans="2:16" ht="1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spans="2:16" ht="1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spans="2:16" ht="1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spans="2:16" ht="1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spans="2:16" ht="1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spans="2:16" ht="1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spans="2:16" ht="1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spans="2:16" ht="1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spans="2:16" ht="1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2:16" ht="1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spans="2:16" ht="1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spans="2:16" ht="1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spans="2:16" ht="1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spans="2:16" ht="1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spans="2:16" ht="1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spans="2:16" ht="1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spans="2:16" ht="1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spans="2:16" ht="1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spans="2:16" ht="1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2:16" ht="1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spans="2:16" ht="1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spans="2:16" ht="1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spans="2:16" ht="1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spans="2:16" ht="1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spans="2:16" ht="1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spans="2:16" ht="1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spans="2:16" ht="1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spans="2:16" ht="1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spans="2:16" ht="1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spans="2:16" ht="1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spans="2:16" ht="1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2:16" ht="1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2:16" ht="1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2:16" ht="1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2:16" ht="1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spans="2:16" ht="1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spans="2:16" ht="1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spans="2:16" ht="1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spans="2:16" ht="1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spans="2:16" ht="1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spans="2:16" ht="1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spans="2:16" ht="1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spans="2:16" ht="1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spans="2:16" ht="1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spans="2:16" ht="1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spans="2:16" ht="1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spans="2:16" ht="1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spans="2:16" ht="1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spans="2:16" ht="1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spans="2:16" ht="1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spans="2:16" ht="1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spans="2:16" ht="1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spans="2:16" ht="1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spans="2:16" ht="1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spans="2:16" ht="1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spans="2:16" ht="1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spans="2:16" ht="1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spans="2:16" ht="1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spans="2:16" ht="1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spans="2:16" ht="1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spans="2:16" ht="1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spans="2:16" ht="1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spans="2:16" ht="1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spans="2:16" ht="1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spans="2:16" ht="1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spans="2:16" ht="1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spans="2:16" ht="1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spans="2:16" ht="1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spans="2:16" ht="1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spans="2:16" ht="1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spans="2:16" ht="1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spans="2:16" ht="1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spans="2:16" ht="1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spans="2:16" ht="1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spans="2:16" ht="1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spans="2:16" ht="1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spans="2:16" ht="1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spans="2:16" ht="1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spans="2:16" ht="1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spans="2:16" ht="1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spans="2:16" ht="1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spans="2:16" ht="1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spans="2:16" ht="1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spans="2:16" ht="1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spans="2:16" ht="1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spans="2:16" ht="1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spans="2:16" ht="1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spans="2:16" ht="1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spans="2:16" ht="1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spans="2:16" ht="1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spans="2:16" ht="1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spans="2:16" ht="1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spans="2:16" ht="1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spans="2:16" ht="1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spans="2:16" ht="1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spans="2:16" ht="1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spans="2:16" ht="1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spans="2:16" ht="1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spans="2:16" ht="1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spans="2:16" ht="1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spans="2:16" ht="1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spans="2:16" ht="1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spans="2:16" ht="1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spans="2:16" ht="1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spans="2:16" ht="1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spans="2:16" ht="1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spans="2:16" ht="1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spans="2:16" ht="1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spans="2:16" ht="1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spans="2:16" ht="1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spans="2:16" ht="1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spans="2:16" ht="1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spans="2:16" ht="1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spans="2:16" ht="1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spans="2:16" ht="1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spans="2:16" ht="1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spans="2:16" ht="1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spans="2:16" ht="1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spans="2:16" ht="1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spans="2:16" ht="1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spans="2:16" ht="1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spans="2:16" ht="1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spans="2:16" ht="1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spans="2:16" ht="1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spans="2:16" ht="1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spans="2:16" ht="1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spans="2:16" ht="1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spans="2:16" ht="1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spans="2:16" ht="1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spans="2:16" ht="1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spans="2:16" ht="1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spans="2:16" ht="1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spans="2:16" ht="1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spans="2:16" ht="1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spans="2:16" ht="1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spans="2:16" ht="1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spans="2:16" ht="1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spans="2:16" ht="1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spans="2:16" ht="1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spans="2:16" ht="1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spans="2:16" ht="1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spans="2:16" ht="1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spans="2:16" ht="1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spans="2:16" ht="1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spans="2:16" ht="1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spans="2:16" ht="1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spans="2:16" ht="1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spans="2:16" ht="1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spans="2:16" ht="1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spans="2:16" ht="1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spans="2:16" ht="1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spans="2:16" ht="1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spans="2:16" ht="1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spans="2:16" ht="1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spans="2:16" ht="1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spans="2:16" ht="1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spans="2:16" ht="1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spans="2:16" ht="1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spans="2:16" ht="1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spans="2:16" ht="1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spans="2:16" ht="1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spans="2:16" ht="1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spans="2:16" ht="1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spans="2:16" ht="1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spans="2:16" ht="1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spans="2:16" ht="1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spans="2:16" ht="1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spans="2:16" ht="1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spans="2:16" ht="1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spans="2:16" ht="1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spans="2:16" ht="1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spans="2:16" ht="1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spans="2:16" ht="1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spans="2:16" ht="1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spans="2:16" ht="1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spans="2:16" ht="1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spans="2:16" ht="1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spans="2:16" ht="1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spans="2:16" ht="1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spans="2:16" ht="1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spans="2:16" ht="1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spans="2:16" ht="1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spans="2:16" ht="1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spans="2:16" ht="1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spans="2:16" ht="1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spans="2:16" ht="1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spans="2:16" ht="1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spans="2:16" ht="1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spans="2:16" ht="1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spans="2:16" ht="1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spans="2:16" ht="1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spans="2:16" ht="1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spans="2:16" ht="1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2:16" ht="1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2:16" ht="1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2:16" ht="1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2:16" ht="1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2:16" ht="1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2:16" ht="1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2:16" ht="1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2:16" ht="1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2:16" ht="1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2:16" ht="1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2:16" ht="1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2:16" ht="1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2:16" ht="1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2:16" ht="1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2:16" ht="1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2:16" ht="1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2:16" ht="1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2:16" ht="1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2:16" ht="1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2:16" ht="1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2:16" ht="1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2:16" ht="1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2:16" ht="1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2:16" ht="1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2:16" ht="1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2:16" ht="1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2:16" ht="1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2:16" ht="1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2:16" ht="1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2:16" ht="1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2:16" ht="1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2:16" ht="1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2:16" ht="1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2:16" ht="1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2:16" ht="1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2:16" ht="1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2:16" ht="1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spans="2:16" ht="1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spans="2:16" ht="1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spans="2:16" ht="1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spans="2:16" ht="1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spans="2:16" ht="1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spans="2:16" ht="1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spans="2:16" ht="1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spans="2:16" ht="1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spans="2:16" ht="1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spans="2:16" ht="1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spans="2:16" ht="1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spans="2:16" ht="1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spans="2:16" ht="1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spans="2:16" ht="1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spans="2:16" ht="1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spans="2:16" ht="1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spans="2:16" ht="1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spans="2:16" ht="1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spans="2:16" ht="1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spans="2:16" ht="1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spans="2:16" ht="1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spans="2:16" ht="1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spans="2:16" ht="1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spans="2:16" ht="1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spans="2:16" ht="1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spans="2:16" ht="1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spans="2:16" ht="1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spans="2:16" ht="1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spans="2:16" ht="1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spans="2:16" ht="1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spans="2:16" ht="1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spans="2:16" ht="1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spans="2:16" ht="1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spans="2:16" ht="1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spans="2:16" ht="1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spans="2:16" ht="1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spans="2:16" ht="1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spans="2:16" ht="1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spans="2:16" ht="1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spans="2:16" ht="1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spans="2:16" ht="1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spans="2:16" ht="1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spans="2:16" ht="1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spans="2:16" ht="1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spans="2:16" ht="1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spans="2:16" ht="1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spans="2:16" ht="1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spans="2:16" ht="1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spans="2:16" ht="1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spans="2:16" ht="1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spans="2:16" ht="1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spans="2:16" ht="1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spans="2:16" ht="1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  <row r="759" spans="2:16" ht="1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</row>
  </sheetData>
  <sortState ref="B265:P268">
    <sortCondition descending="1" ref="B265"/>
  </sortState>
  <mergeCells count="13">
    <mergeCell ref="K301:P301"/>
    <mergeCell ref="B300:G300"/>
    <mergeCell ref="K300:P300"/>
    <mergeCell ref="B3:D3"/>
    <mergeCell ref="N3:P3"/>
    <mergeCell ref="E3:M3"/>
    <mergeCell ref="C5:O5"/>
    <mergeCell ref="B7:B9"/>
    <mergeCell ref="C7:G7"/>
    <mergeCell ref="H7:P7"/>
    <mergeCell ref="C8:G8"/>
    <mergeCell ref="H8:P8"/>
    <mergeCell ref="B301:H30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824"/>
  <sheetViews>
    <sheetView rightToLeft="1" topLeftCell="B32" zoomScale="50" zoomScaleNormal="50" workbookViewId="0">
      <selection activeCell="N296" sqref="N296"/>
    </sheetView>
  </sheetViews>
  <sheetFormatPr defaultColWidth="9.140625" defaultRowHeight="15.75"/>
  <cols>
    <col min="1" max="1" width="10.7109375" customWidth="1"/>
    <col min="2" max="2" width="22.7109375" style="1" customWidth="1"/>
    <col min="3" max="15" width="26.7109375" style="1" customWidth="1"/>
    <col min="18" max="18" width="9.140625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16" s="82" customFormat="1" ht="40.15" customHeight="1">
      <c r="B2" s="166" t="s">
        <v>130</v>
      </c>
      <c r="C2" s="166"/>
      <c r="D2" s="166"/>
      <c r="E2" s="168" t="s">
        <v>100</v>
      </c>
      <c r="F2" s="168"/>
      <c r="G2" s="168"/>
      <c r="H2" s="168"/>
      <c r="I2" s="168"/>
      <c r="J2" s="168"/>
      <c r="K2" s="168"/>
      <c r="L2" s="168"/>
      <c r="M2" s="167" t="s">
        <v>106</v>
      </c>
      <c r="N2" s="167"/>
      <c r="O2" s="167"/>
    </row>
    <row r="3" spans="2:16" s="82" customFormat="1" ht="40.15" customHeight="1">
      <c r="B3" s="63"/>
      <c r="C3" s="63"/>
      <c r="D3" s="168" t="s">
        <v>159</v>
      </c>
      <c r="E3" s="168"/>
      <c r="F3" s="168"/>
      <c r="G3" s="168"/>
      <c r="H3" s="168"/>
      <c r="I3" s="168"/>
      <c r="J3" s="168"/>
      <c r="K3" s="168"/>
      <c r="L3" s="168"/>
      <c r="M3" s="168"/>
      <c r="N3" s="64"/>
      <c r="O3" s="64"/>
    </row>
    <row r="4" spans="2:16" s="82" customFormat="1" ht="40.15" customHeight="1">
      <c r="B4" s="21"/>
      <c r="D4" s="169" t="s">
        <v>160</v>
      </c>
      <c r="E4" s="169"/>
      <c r="F4" s="169"/>
      <c r="G4" s="169"/>
      <c r="H4" s="169"/>
      <c r="I4" s="169"/>
      <c r="J4" s="169"/>
      <c r="K4" s="169"/>
      <c r="L4" s="169"/>
      <c r="M4" s="169"/>
      <c r="N4" s="85"/>
      <c r="O4" s="83" t="s">
        <v>97</v>
      </c>
      <c r="P4" s="84"/>
    </row>
    <row r="5" spans="2:16" ht="10.15" customHeight="1">
      <c r="B5" s="21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49"/>
      <c r="P5" s="24"/>
    </row>
    <row r="6" spans="2:16" ht="36" customHeight="1">
      <c r="B6" s="36"/>
      <c r="C6" s="173" t="s">
        <v>83</v>
      </c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81" t="s">
        <v>40</v>
      </c>
    </row>
    <row r="7" spans="2:16" ht="36" customHeight="1">
      <c r="B7" s="30"/>
      <c r="C7" s="179" t="s">
        <v>84</v>
      </c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80"/>
      <c r="O7" s="182"/>
    </row>
    <row r="8" spans="2:16" ht="120" customHeight="1">
      <c r="B8" s="37"/>
      <c r="C8" s="27" t="s">
        <v>52</v>
      </c>
      <c r="D8" s="27" t="s">
        <v>51</v>
      </c>
      <c r="E8" s="27" t="s">
        <v>50</v>
      </c>
      <c r="F8" s="27" t="s">
        <v>49</v>
      </c>
      <c r="G8" s="27" t="s">
        <v>48</v>
      </c>
      <c r="H8" s="27" t="s">
        <v>47</v>
      </c>
      <c r="I8" s="27" t="s">
        <v>46</v>
      </c>
      <c r="J8" s="27" t="s">
        <v>45</v>
      </c>
      <c r="K8" s="27" t="s">
        <v>44</v>
      </c>
      <c r="L8" s="27" t="s">
        <v>43</v>
      </c>
      <c r="M8" s="27" t="s">
        <v>42</v>
      </c>
      <c r="N8" s="92" t="s">
        <v>41</v>
      </c>
      <c r="O8" s="183"/>
    </row>
    <row r="9" spans="2:16" ht="32.25" customHeight="1">
      <c r="B9" s="3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32"/>
    </row>
    <row r="10" spans="2:16" ht="120" customHeight="1">
      <c r="B10" s="33"/>
      <c r="C10" s="80" t="s">
        <v>39</v>
      </c>
      <c r="D10" s="80" t="s">
        <v>38</v>
      </c>
      <c r="E10" s="80" t="s">
        <v>37</v>
      </c>
      <c r="F10" s="80" t="s">
        <v>36</v>
      </c>
      <c r="G10" s="80" t="s">
        <v>35</v>
      </c>
      <c r="H10" s="80" t="s">
        <v>34</v>
      </c>
      <c r="I10" s="80" t="s">
        <v>33</v>
      </c>
      <c r="J10" s="80" t="s">
        <v>32</v>
      </c>
      <c r="K10" s="80" t="s">
        <v>31</v>
      </c>
      <c r="L10" s="80" t="s">
        <v>30</v>
      </c>
      <c r="M10" s="80" t="s">
        <v>29</v>
      </c>
      <c r="N10" s="80" t="s">
        <v>28</v>
      </c>
      <c r="O10" s="81" t="s">
        <v>27</v>
      </c>
    </row>
    <row r="11" spans="2:16" ht="40.15" customHeight="1">
      <c r="B11" s="26" t="s">
        <v>79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2:16" s="8" customFormat="1" ht="34.9" hidden="1" customHeight="1">
      <c r="B12" s="5">
        <v>2004</v>
      </c>
      <c r="C12" s="6">
        <v>84073.7</v>
      </c>
      <c r="D12" s="6">
        <v>108018.3</v>
      </c>
      <c r="E12" s="6">
        <v>3061.1</v>
      </c>
      <c r="F12" s="6">
        <v>22166</v>
      </c>
      <c r="G12" s="6">
        <v>75679.600000000006</v>
      </c>
      <c r="H12" s="6">
        <v>76584.399999999994</v>
      </c>
      <c r="I12" s="6">
        <v>257308.5</v>
      </c>
      <c r="J12" s="6">
        <v>63548.5</v>
      </c>
      <c r="K12" s="6">
        <v>261366.8</v>
      </c>
      <c r="L12" s="6">
        <v>34323.699999999997</v>
      </c>
      <c r="M12" s="6">
        <v>23411.200000000001</v>
      </c>
      <c r="N12" s="7">
        <f>SUM(C12:M12)</f>
        <v>1009541.7999999998</v>
      </c>
      <c r="O12" s="7">
        <f>N12+'59a'!G13+'59a'!P13</f>
        <v>3793251.0999999996</v>
      </c>
    </row>
    <row r="13" spans="2:16" s="8" customFormat="1" ht="34.9" hidden="1" customHeight="1">
      <c r="B13" s="9">
        <v>2005</v>
      </c>
      <c r="C13" s="10">
        <v>140194.79999999999</v>
      </c>
      <c r="D13" s="10">
        <v>146414.6</v>
      </c>
      <c r="E13" s="10">
        <v>2138.9</v>
      </c>
      <c r="F13" s="10">
        <v>3978.5</v>
      </c>
      <c r="G13" s="10">
        <v>94749.7</v>
      </c>
      <c r="H13" s="10">
        <v>335682.4</v>
      </c>
      <c r="I13" s="10">
        <v>558859.69999999995</v>
      </c>
      <c r="J13" s="10">
        <v>199290.5</v>
      </c>
      <c r="K13" s="10">
        <v>821254.2</v>
      </c>
      <c r="L13" s="10">
        <v>140776.9</v>
      </c>
      <c r="M13" s="10">
        <v>31102.2</v>
      </c>
      <c r="N13" s="11">
        <f>SUM(C13:M13)</f>
        <v>2474442.4</v>
      </c>
      <c r="O13" s="11">
        <f>N13+'59a'!G14+'59a'!P14</f>
        <v>16871051.900000002</v>
      </c>
    </row>
    <row r="14" spans="2:16" s="8" customFormat="1" ht="34.9" hidden="1" customHeight="1">
      <c r="B14" s="5">
        <v>2006</v>
      </c>
      <c r="C14" s="6">
        <v>82595.8</v>
      </c>
      <c r="D14" s="6">
        <v>132590.79999999999</v>
      </c>
      <c r="E14" s="6">
        <v>10345.5</v>
      </c>
      <c r="F14" s="6">
        <v>8004.1</v>
      </c>
      <c r="G14" s="6">
        <v>114403.3</v>
      </c>
      <c r="H14" s="6">
        <v>62441</v>
      </c>
      <c r="I14" s="6">
        <v>306110.3</v>
      </c>
      <c r="J14" s="6">
        <v>167761.5</v>
      </c>
      <c r="K14" s="6">
        <v>698533.8</v>
      </c>
      <c r="L14" s="6">
        <v>98541.5</v>
      </c>
      <c r="M14" s="6">
        <v>16151.6</v>
      </c>
      <c r="N14" s="7">
        <f>SUM(C14:M14)</f>
        <v>1697479.2000000002</v>
      </c>
      <c r="O14" s="7">
        <f>N14+'59a'!G15+'59a'!P15</f>
        <v>14209870.700000001</v>
      </c>
    </row>
    <row r="15" spans="2:16" s="8" customFormat="1" ht="34.9" hidden="1" customHeight="1">
      <c r="B15" s="9">
        <v>2007</v>
      </c>
      <c r="C15" s="10">
        <v>75701.7</v>
      </c>
      <c r="D15" s="10">
        <v>261020</v>
      </c>
      <c r="E15" s="10">
        <v>43498.3</v>
      </c>
      <c r="F15" s="10">
        <v>10120.9</v>
      </c>
      <c r="G15" s="10">
        <v>87294.8</v>
      </c>
      <c r="H15" s="10">
        <v>32276.400000000001</v>
      </c>
      <c r="I15" s="10">
        <v>334523.7</v>
      </c>
      <c r="J15" s="10">
        <v>186756.6</v>
      </c>
      <c r="K15" s="10">
        <v>658572</v>
      </c>
      <c r="L15" s="10">
        <v>199564.9</v>
      </c>
      <c r="M15" s="10">
        <v>21545.599999999999</v>
      </c>
      <c r="N15" s="11">
        <f>SUM(C15:M15)</f>
        <v>1910874.9</v>
      </c>
      <c r="O15" s="11">
        <f>N15+'59a'!G16+'59a'!P16</f>
        <v>12348101.9</v>
      </c>
    </row>
    <row r="16" spans="2:16" s="8" customFormat="1" ht="34.9" hidden="1" customHeight="1">
      <c r="B16" s="5">
        <v>2008</v>
      </c>
      <c r="C16" s="6">
        <v>19076.579000000002</v>
      </c>
      <c r="D16" s="6">
        <v>275509.69500000001</v>
      </c>
      <c r="E16" s="6">
        <v>30734.77</v>
      </c>
      <c r="F16" s="6">
        <v>4898.3490000000002</v>
      </c>
      <c r="G16" s="6">
        <v>99982.900999999998</v>
      </c>
      <c r="H16" s="6">
        <v>24792.449000000001</v>
      </c>
      <c r="I16" s="6">
        <v>4117485.0680000004</v>
      </c>
      <c r="J16" s="6">
        <v>133818.83799999999</v>
      </c>
      <c r="K16" s="6">
        <v>458900.45799999998</v>
      </c>
      <c r="L16" s="6">
        <v>84320.019</v>
      </c>
      <c r="M16" s="6">
        <v>7316.8230000000003</v>
      </c>
      <c r="N16" s="7">
        <v>5256835.949</v>
      </c>
      <c r="O16" s="7">
        <f>N16+'59a'!G17+'59a'!P17</f>
        <v>20318014.631999999</v>
      </c>
    </row>
    <row r="17" spans="2:15" s="8" customFormat="1" ht="34.9" hidden="1" customHeight="1">
      <c r="B17" s="9">
        <v>2009</v>
      </c>
      <c r="C17" s="10">
        <v>9812.1</v>
      </c>
      <c r="D17" s="10">
        <v>162100.66</v>
      </c>
      <c r="E17" s="10">
        <v>12011.03</v>
      </c>
      <c r="F17" s="10">
        <v>511.71</v>
      </c>
      <c r="G17" s="10">
        <v>44931.430000000008</v>
      </c>
      <c r="H17" s="10">
        <v>11413.069999999998</v>
      </c>
      <c r="I17" s="10">
        <v>687293.39</v>
      </c>
      <c r="J17" s="10">
        <v>155484.81900000002</v>
      </c>
      <c r="K17" s="10">
        <v>46507.358999999997</v>
      </c>
      <c r="L17" s="10">
        <v>94958.869999999981</v>
      </c>
      <c r="M17" s="10">
        <v>64728.05799999999</v>
      </c>
      <c r="N17" s="11">
        <v>1289752.4959999998</v>
      </c>
      <c r="O17" s="11">
        <f>N17+'59a'!G18+'59a'!P18</f>
        <v>9665310.618999999</v>
      </c>
    </row>
    <row r="18" spans="2:15" s="8" customFormat="1" ht="34.9" hidden="1" customHeight="1">
      <c r="B18" s="5">
        <v>2010</v>
      </c>
      <c r="C18" s="6">
        <v>14655.015000000001</v>
      </c>
      <c r="D18" s="6">
        <v>33141.800000000003</v>
      </c>
      <c r="E18" s="6">
        <v>30404.539999999997</v>
      </c>
      <c r="F18" s="6">
        <v>676.94499999999994</v>
      </c>
      <c r="G18" s="6">
        <v>30480.800000000003</v>
      </c>
      <c r="H18" s="6">
        <v>17883.958000000002</v>
      </c>
      <c r="I18" s="6">
        <v>198454.59399999998</v>
      </c>
      <c r="J18" s="6">
        <v>26793.204000000002</v>
      </c>
      <c r="K18" s="6">
        <v>287588</v>
      </c>
      <c r="L18" s="6">
        <v>79966.226999999999</v>
      </c>
      <c r="M18" s="6">
        <v>51165.9</v>
      </c>
      <c r="N18" s="7">
        <v>771210.98300000001</v>
      </c>
      <c r="O18" s="7">
        <f>N18+'59a'!G19+'59a'!P19</f>
        <v>6689987.1299999999</v>
      </c>
    </row>
    <row r="19" spans="2:15" s="8" customFormat="1" ht="34.9" hidden="1" customHeight="1">
      <c r="B19" s="9">
        <v>2011</v>
      </c>
      <c r="C19" s="10">
        <v>5790.0000000000009</v>
      </c>
      <c r="D19" s="10">
        <v>19684.099999999999</v>
      </c>
      <c r="E19" s="10">
        <v>2528.1</v>
      </c>
      <c r="F19" s="10">
        <v>1628.8999999999996</v>
      </c>
      <c r="G19" s="10">
        <v>9199.2000000000007</v>
      </c>
      <c r="H19" s="10">
        <v>30245.700000000004</v>
      </c>
      <c r="I19" s="10">
        <v>177860.8</v>
      </c>
      <c r="J19" s="10">
        <v>40079.399999999994</v>
      </c>
      <c r="K19" s="10">
        <v>202577.5</v>
      </c>
      <c r="L19" s="10">
        <v>19244.099999999999</v>
      </c>
      <c r="M19" s="10">
        <v>8055.9</v>
      </c>
      <c r="N19" s="11">
        <v>516893.69999999995</v>
      </c>
      <c r="O19" s="11">
        <f>N19+'59a'!G20+'59a'!P20</f>
        <v>2850246.6999999997</v>
      </c>
    </row>
    <row r="20" spans="2:15" s="8" customFormat="1" ht="34.9" hidden="1" customHeight="1">
      <c r="B20" s="5">
        <v>2012</v>
      </c>
      <c r="C20" s="6">
        <v>4768.7569999999996</v>
      </c>
      <c r="D20" s="6">
        <v>20204.896899999996</v>
      </c>
      <c r="E20" s="6">
        <v>2436.4179999999997</v>
      </c>
      <c r="F20" s="6">
        <v>5178.3730000000014</v>
      </c>
      <c r="G20" s="6">
        <v>1588.0340000000001</v>
      </c>
      <c r="H20" s="6">
        <v>78725.319000000003</v>
      </c>
      <c r="I20" s="6">
        <v>90337.212</v>
      </c>
      <c r="J20" s="6">
        <v>75905.299999999988</v>
      </c>
      <c r="K20" s="6">
        <v>22736.645999999997</v>
      </c>
      <c r="L20" s="6">
        <v>27188.278999999999</v>
      </c>
      <c r="M20" s="6">
        <v>56307.908000000003</v>
      </c>
      <c r="N20" s="7">
        <v>385377.14289999998</v>
      </c>
      <c r="O20" s="7">
        <f>N20+'59a'!G21+'59a'!P21</f>
        <v>1978750.0429</v>
      </c>
    </row>
    <row r="21" spans="2:15" s="8" customFormat="1" ht="34.9" hidden="1" customHeight="1">
      <c r="B21" s="9">
        <v>2013</v>
      </c>
      <c r="C21" s="10">
        <v>9718.5999999999985</v>
      </c>
      <c r="D21" s="10">
        <v>29260.6</v>
      </c>
      <c r="E21" s="10">
        <v>8746.0999999999985</v>
      </c>
      <c r="F21" s="10">
        <v>1659.9</v>
      </c>
      <c r="G21" s="10">
        <v>7307.2</v>
      </c>
      <c r="H21" s="10">
        <v>38666.400000000001</v>
      </c>
      <c r="I21" s="10">
        <v>93632.099999999991</v>
      </c>
      <c r="J21" s="10">
        <v>54684.2</v>
      </c>
      <c r="K21" s="10">
        <v>61894.3</v>
      </c>
      <c r="L21" s="10">
        <v>43391.4</v>
      </c>
      <c r="M21" s="10">
        <v>48725.2</v>
      </c>
      <c r="N21" s="11">
        <v>397686.00000000006</v>
      </c>
      <c r="O21" s="11">
        <f>N21+'59a'!G22+'59a'!P22</f>
        <v>3027245.443</v>
      </c>
    </row>
    <row r="22" spans="2:15" s="8" customFormat="1" ht="34.9" hidden="1" customHeight="1">
      <c r="B22" s="5">
        <v>2014</v>
      </c>
      <c r="C22" s="6">
        <v>30038.993999999999</v>
      </c>
      <c r="D22" s="6">
        <v>76361.911999999997</v>
      </c>
      <c r="E22" s="6">
        <v>4405.5339999999997</v>
      </c>
      <c r="F22" s="6">
        <v>211.108</v>
      </c>
      <c r="G22" s="6">
        <v>16100.642999999996</v>
      </c>
      <c r="H22" s="6">
        <v>49802.53</v>
      </c>
      <c r="I22" s="6">
        <v>91190.820999999996</v>
      </c>
      <c r="J22" s="6">
        <v>24188.305999999997</v>
      </c>
      <c r="K22" s="6">
        <v>18769.341999999997</v>
      </c>
      <c r="L22" s="6">
        <v>57442.429000000011</v>
      </c>
      <c r="M22" s="6">
        <v>10583.152</v>
      </c>
      <c r="N22" s="7">
        <v>379094.77099999995</v>
      </c>
      <c r="O22" s="7">
        <f>N22+'59a'!G23+'59a'!P23</f>
        <v>2263404.702</v>
      </c>
    </row>
    <row r="23" spans="2:15" s="8" customFormat="1" ht="34.9" hidden="1" customHeight="1">
      <c r="B23" s="9">
        <v>2015</v>
      </c>
      <c r="C23" s="10">
        <v>21749.471999999998</v>
      </c>
      <c r="D23" s="10">
        <v>47221.312000000005</v>
      </c>
      <c r="E23" s="10">
        <v>1489.0180000000003</v>
      </c>
      <c r="F23" s="10">
        <v>213.745</v>
      </c>
      <c r="G23" s="10">
        <v>20087.132000000005</v>
      </c>
      <c r="H23" s="10">
        <v>41234.746999999996</v>
      </c>
      <c r="I23" s="10">
        <v>62308.873</v>
      </c>
      <c r="J23" s="10">
        <v>26941.055999999997</v>
      </c>
      <c r="K23" s="10">
        <v>25280.629000000004</v>
      </c>
      <c r="L23" s="10">
        <v>93605.307000000001</v>
      </c>
      <c r="M23" s="10">
        <v>6431.4</v>
      </c>
      <c r="N23" s="11">
        <v>346562.69099999999</v>
      </c>
      <c r="O23" s="11">
        <f>N23+'59a'!G24+'59a'!P24</f>
        <v>3417078.9050000003</v>
      </c>
    </row>
    <row r="24" spans="2:15" s="8" customFormat="1" ht="34.9" hidden="1" customHeight="1">
      <c r="B24" s="5">
        <v>2016</v>
      </c>
      <c r="C24" s="6">
        <v>23242.054999999997</v>
      </c>
      <c r="D24" s="6">
        <v>39174.547999999988</v>
      </c>
      <c r="E24" s="6">
        <v>3696.8110000000001</v>
      </c>
      <c r="F24" s="6">
        <v>127.02</v>
      </c>
      <c r="G24" s="6">
        <v>38398.482000000004</v>
      </c>
      <c r="H24" s="6">
        <v>282739.07300000003</v>
      </c>
      <c r="I24" s="6">
        <v>121086.62900000003</v>
      </c>
      <c r="J24" s="6">
        <v>54336.082000000002</v>
      </c>
      <c r="K24" s="6">
        <v>52808.558000000005</v>
      </c>
      <c r="L24" s="6">
        <v>88109.735000000001</v>
      </c>
      <c r="M24" s="6">
        <v>0</v>
      </c>
      <c r="N24" s="7">
        <v>703718.99300000002</v>
      </c>
      <c r="O24" s="7">
        <f>N24+'59a'!G25+'59a'!P25</f>
        <v>2329466.1860000002</v>
      </c>
    </row>
    <row r="25" spans="2:15" s="8" customFormat="1" ht="34.9" hidden="1" customHeight="1">
      <c r="B25" s="9">
        <v>2017</v>
      </c>
      <c r="C25" s="10">
        <v>10251.276000000002</v>
      </c>
      <c r="D25" s="10">
        <v>40147.962</v>
      </c>
      <c r="E25" s="10">
        <v>1179.2660000000001</v>
      </c>
      <c r="F25" s="10">
        <v>185.66299999999998</v>
      </c>
      <c r="G25" s="10">
        <v>25196.060000000005</v>
      </c>
      <c r="H25" s="10">
        <v>378163.50899999996</v>
      </c>
      <c r="I25" s="10">
        <v>113572.01700000002</v>
      </c>
      <c r="J25" s="10">
        <v>18532.933000000001</v>
      </c>
      <c r="K25" s="10">
        <v>17124.184000000001</v>
      </c>
      <c r="L25" s="10">
        <v>51396.928</v>
      </c>
      <c r="M25" s="10">
        <v>0</v>
      </c>
      <c r="N25" s="11">
        <v>655749.79799999995</v>
      </c>
      <c r="O25" s="11">
        <f>N25+'59a'!G26+'59a'!P26</f>
        <v>2926233.5334999999</v>
      </c>
    </row>
    <row r="26" spans="2:15" s="8" customFormat="1" ht="34.9" hidden="1" customHeight="1">
      <c r="B26" s="5">
        <v>2018</v>
      </c>
      <c r="C26" s="6">
        <v>5794.6</v>
      </c>
      <c r="D26" s="6">
        <v>29293.171999999999</v>
      </c>
      <c r="E26" s="6">
        <v>24.631999999999998</v>
      </c>
      <c r="F26" s="6">
        <v>39.011000000000003</v>
      </c>
      <c r="G26" s="6">
        <v>5561.674</v>
      </c>
      <c r="H26" s="6">
        <v>365624.27299999999</v>
      </c>
      <c r="I26" s="6">
        <v>484411.19600000005</v>
      </c>
      <c r="J26" s="6">
        <v>47641.618000000009</v>
      </c>
      <c r="K26" s="6">
        <v>13315.304</v>
      </c>
      <c r="L26" s="6">
        <v>36583.65</v>
      </c>
      <c r="M26" s="6">
        <v>0</v>
      </c>
      <c r="N26" s="7">
        <v>988289.12999999989</v>
      </c>
      <c r="O26" s="7">
        <f>N26+'59a'!G27+'59a'!P27</f>
        <v>2319325.9819999994</v>
      </c>
    </row>
    <row r="27" spans="2:15" s="8" customFormat="1" ht="34.9" hidden="1" customHeight="1">
      <c r="B27" s="9">
        <v>2019</v>
      </c>
      <c r="C27" s="10">
        <v>8209.5889999999999</v>
      </c>
      <c r="D27" s="10">
        <v>29951.353999999999</v>
      </c>
      <c r="E27" s="10">
        <v>46.171999999999997</v>
      </c>
      <c r="F27" s="10">
        <v>1.208</v>
      </c>
      <c r="G27" s="10">
        <v>27584.971000000001</v>
      </c>
      <c r="H27" s="10">
        <v>75362.812999999995</v>
      </c>
      <c r="I27" s="10">
        <v>79813.516999999978</v>
      </c>
      <c r="J27" s="10">
        <v>20251.989000000005</v>
      </c>
      <c r="K27" s="10">
        <v>12116.545</v>
      </c>
      <c r="L27" s="10">
        <v>36026.434000000001</v>
      </c>
      <c r="M27" s="10">
        <v>0</v>
      </c>
      <c r="N27" s="11">
        <v>289364.592</v>
      </c>
      <c r="O27" s="11">
        <f>N27+'59a'!G28+'59a'!P28</f>
        <v>1585437.4989999998</v>
      </c>
    </row>
    <row r="28" spans="2:15" s="8" customFormat="1" ht="34.9" hidden="1" customHeight="1">
      <c r="B28" s="5" t="s">
        <v>141</v>
      </c>
      <c r="C28" s="6">
        <v>4548.951</v>
      </c>
      <c r="D28" s="6">
        <v>33719.974999999999</v>
      </c>
      <c r="E28" s="6">
        <v>0</v>
      </c>
      <c r="F28" s="6">
        <v>0</v>
      </c>
      <c r="G28" s="6">
        <v>24573.542000000001</v>
      </c>
      <c r="H28" s="6">
        <v>40556.51</v>
      </c>
      <c r="I28" s="6">
        <v>55370.096000000005</v>
      </c>
      <c r="J28" s="6">
        <v>5043.0919999999987</v>
      </c>
      <c r="K28" s="6">
        <v>10313.297</v>
      </c>
      <c r="L28" s="6">
        <v>8190.6490000000003</v>
      </c>
      <c r="M28" s="6">
        <v>0</v>
      </c>
      <c r="N28" s="7">
        <v>182316.11199999994</v>
      </c>
      <c r="O28" s="7">
        <f>N28+'59a'!G29+'59a'!P29</f>
        <v>1048824.45</v>
      </c>
    </row>
    <row r="29" spans="2:15" s="8" customFormat="1" ht="34.9" customHeight="1">
      <c r="B29" s="9">
        <v>2021</v>
      </c>
      <c r="C29" s="10">
        <v>27675.356</v>
      </c>
      <c r="D29" s="10">
        <v>21817.233000000004</v>
      </c>
      <c r="E29" s="10">
        <v>0</v>
      </c>
      <c r="F29" s="10">
        <v>0</v>
      </c>
      <c r="G29" s="10">
        <v>48477.504999999997</v>
      </c>
      <c r="H29" s="10">
        <v>28890.542999999998</v>
      </c>
      <c r="I29" s="10">
        <v>334659.12500000006</v>
      </c>
      <c r="J29" s="10">
        <v>17327.940999999995</v>
      </c>
      <c r="K29" s="10">
        <v>14935.985999999999</v>
      </c>
      <c r="L29" s="10">
        <v>2075.4160000000002</v>
      </c>
      <c r="M29" s="10">
        <v>0</v>
      </c>
      <c r="N29" s="11">
        <v>495859.1050000001</v>
      </c>
      <c r="O29" s="11">
        <f>N29+'59a'!G30+'59a'!P30</f>
        <v>1963596.5370000002</v>
      </c>
    </row>
    <row r="30" spans="2:15" s="8" customFormat="1" ht="34.9" customHeight="1">
      <c r="B30" s="5">
        <v>2022</v>
      </c>
      <c r="C30" s="6">
        <v>4626.076</v>
      </c>
      <c r="D30" s="6">
        <v>7317.4739999999993</v>
      </c>
      <c r="E30" s="6">
        <v>0</v>
      </c>
      <c r="F30" s="6">
        <v>0</v>
      </c>
      <c r="G30" s="6">
        <v>46372.248999999996</v>
      </c>
      <c r="H30" s="6">
        <v>3559.1400000000003</v>
      </c>
      <c r="I30" s="6">
        <v>352525.19999999995</v>
      </c>
      <c r="J30" s="6">
        <v>28542.856</v>
      </c>
      <c r="K30" s="6">
        <v>2696.1490000000003</v>
      </c>
      <c r="L30" s="6">
        <v>374.98199999999997</v>
      </c>
      <c r="M30" s="6">
        <v>0</v>
      </c>
      <c r="N30" s="7">
        <v>446014.12599999999</v>
      </c>
      <c r="O30" s="7">
        <f>N30+'59a'!G31+'59a'!P31</f>
        <v>1903706.6099999999</v>
      </c>
    </row>
    <row r="31" spans="2:15" s="8" customFormat="1" ht="34.9" customHeight="1">
      <c r="B31" s="9">
        <v>2023</v>
      </c>
      <c r="C31" s="10">
        <v>19107.657000000003</v>
      </c>
      <c r="D31" s="10">
        <v>10413.478000000001</v>
      </c>
      <c r="E31" s="10">
        <v>0</v>
      </c>
      <c r="F31" s="10">
        <v>0</v>
      </c>
      <c r="G31" s="10">
        <v>42246.680999999997</v>
      </c>
      <c r="H31" s="10">
        <v>8589.7509999999984</v>
      </c>
      <c r="I31" s="10">
        <v>278224.35100000002</v>
      </c>
      <c r="J31" s="10">
        <v>105451.83199999999</v>
      </c>
      <c r="K31" s="10">
        <v>2378.8669999999997</v>
      </c>
      <c r="L31" s="10">
        <v>597.48699999999985</v>
      </c>
      <c r="M31" s="10">
        <v>0</v>
      </c>
      <c r="N31" s="11">
        <v>467010.10399999993</v>
      </c>
      <c r="O31" s="11">
        <v>1456963.6170000001</v>
      </c>
    </row>
    <row r="32" spans="2:15" s="8" customFormat="1" ht="34.9" customHeight="1">
      <c r="B32" s="5">
        <v>2024</v>
      </c>
      <c r="C32" s="6">
        <v>11482.573</v>
      </c>
      <c r="D32" s="6">
        <v>6266.848</v>
      </c>
      <c r="E32" s="6">
        <v>0</v>
      </c>
      <c r="F32" s="6">
        <v>0</v>
      </c>
      <c r="G32" s="6">
        <v>13680.787</v>
      </c>
      <c r="H32" s="6">
        <v>6187.5169999999998</v>
      </c>
      <c r="I32" s="6">
        <v>135523.68</v>
      </c>
      <c r="J32" s="6">
        <v>27189.951000000001</v>
      </c>
      <c r="K32" s="6">
        <v>6950.3450000000003</v>
      </c>
      <c r="L32" s="6">
        <v>552.33199999999999</v>
      </c>
      <c r="M32" s="6">
        <v>0</v>
      </c>
      <c r="N32" s="7">
        <v>207834.03400000001</v>
      </c>
      <c r="O32" s="7">
        <v>1199225.429</v>
      </c>
    </row>
    <row r="33" spans="2:15" s="8" customFormat="1" ht="34.9" customHeight="1">
      <c r="B33" s="9">
        <v>2025</v>
      </c>
      <c r="C33" s="10">
        <v>11087.308999999999</v>
      </c>
      <c r="D33" s="10">
        <v>7133.3660000000009</v>
      </c>
      <c r="E33" s="10">
        <v>0</v>
      </c>
      <c r="F33" s="10">
        <v>0</v>
      </c>
      <c r="G33" s="10">
        <v>7609.0560000000005</v>
      </c>
      <c r="H33" s="10">
        <v>710.2059999999999</v>
      </c>
      <c r="I33" s="10">
        <v>447068.44500000001</v>
      </c>
      <c r="J33" s="10">
        <v>23806.92</v>
      </c>
      <c r="K33" s="10">
        <v>60248.870999999999</v>
      </c>
      <c r="L33" s="10">
        <v>1233.1120000000001</v>
      </c>
      <c r="M33" s="10">
        <v>0</v>
      </c>
      <c r="N33" s="11">
        <v>558897.28500000003</v>
      </c>
      <c r="O33" s="11">
        <v>2165308.4669999997</v>
      </c>
    </row>
    <row r="34" spans="2:15" s="8" customFormat="1" ht="34.9" hidden="1" customHeight="1">
      <c r="B34" s="3">
        <v>2006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3"/>
    </row>
    <row r="35" spans="2:15" s="8" customFormat="1" ht="34.9" hidden="1" customHeight="1">
      <c r="B35" s="14">
        <v>38899</v>
      </c>
      <c r="C35" s="6">
        <v>1241.4000000000001</v>
      </c>
      <c r="D35" s="6">
        <v>5931.2</v>
      </c>
      <c r="E35" s="6">
        <v>2729</v>
      </c>
      <c r="F35" s="6">
        <v>397.5</v>
      </c>
      <c r="G35" s="6">
        <v>4826</v>
      </c>
      <c r="H35" s="6">
        <v>2573.4</v>
      </c>
      <c r="I35" s="6">
        <v>11628.2</v>
      </c>
      <c r="J35" s="6">
        <v>10850.2</v>
      </c>
      <c r="K35" s="6">
        <v>44789.7</v>
      </c>
      <c r="L35" s="6">
        <v>10369.9</v>
      </c>
      <c r="M35" s="6">
        <v>254.7</v>
      </c>
      <c r="N35" s="7">
        <v>95591.2</v>
      </c>
      <c r="O35" s="7">
        <v>903209.89999999991</v>
      </c>
    </row>
    <row r="36" spans="2:15" s="8" customFormat="1" ht="34.9" hidden="1" customHeight="1">
      <c r="B36" s="15">
        <v>38930</v>
      </c>
      <c r="C36" s="10">
        <v>1587.7</v>
      </c>
      <c r="D36" s="10">
        <v>20938.900000000001</v>
      </c>
      <c r="E36" s="10">
        <v>3938.6</v>
      </c>
      <c r="F36" s="10">
        <v>560.6</v>
      </c>
      <c r="G36" s="10">
        <v>11547</v>
      </c>
      <c r="H36" s="10">
        <v>1224.0999999999999</v>
      </c>
      <c r="I36" s="10">
        <v>30994.400000000001</v>
      </c>
      <c r="J36" s="10">
        <v>15102.3</v>
      </c>
      <c r="K36" s="10">
        <v>111919.8</v>
      </c>
      <c r="L36" s="10">
        <v>24856.9</v>
      </c>
      <c r="M36" s="10">
        <v>2074.8000000000002</v>
      </c>
      <c r="N36" s="11">
        <v>224745.1</v>
      </c>
      <c r="O36" s="11">
        <v>1771830.7000000002</v>
      </c>
    </row>
    <row r="37" spans="2:15" s="8" customFormat="1" ht="34.9" hidden="1" customHeight="1">
      <c r="B37" s="14">
        <v>38961</v>
      </c>
      <c r="C37" s="6">
        <v>2165.6</v>
      </c>
      <c r="D37" s="6">
        <v>29119.3</v>
      </c>
      <c r="E37" s="6">
        <v>872.5</v>
      </c>
      <c r="F37" s="6">
        <v>2636.5</v>
      </c>
      <c r="G37" s="6">
        <v>14226.8</v>
      </c>
      <c r="H37" s="6">
        <v>3588.4</v>
      </c>
      <c r="I37" s="6">
        <v>30521.9</v>
      </c>
      <c r="J37" s="6">
        <v>25285.1</v>
      </c>
      <c r="K37" s="6">
        <v>48636.3</v>
      </c>
      <c r="L37" s="6">
        <v>14569.7</v>
      </c>
      <c r="M37" s="6">
        <v>5566.2</v>
      </c>
      <c r="N37" s="7">
        <v>177188.30000000005</v>
      </c>
      <c r="O37" s="7">
        <v>1189354.2</v>
      </c>
    </row>
    <row r="38" spans="2:15" s="8" customFormat="1" ht="34.9" hidden="1" customHeight="1">
      <c r="B38" s="15">
        <v>38991</v>
      </c>
      <c r="C38" s="10">
        <v>910</v>
      </c>
      <c r="D38" s="10">
        <v>17222.599999999999</v>
      </c>
      <c r="E38" s="10">
        <v>551.70000000000005</v>
      </c>
      <c r="F38" s="10">
        <v>1407.1</v>
      </c>
      <c r="G38" s="10">
        <v>17092.900000000001</v>
      </c>
      <c r="H38" s="10">
        <v>899.2</v>
      </c>
      <c r="I38" s="10">
        <v>15600</v>
      </c>
      <c r="J38" s="10">
        <v>15422.6</v>
      </c>
      <c r="K38" s="10">
        <v>27620.7</v>
      </c>
      <c r="L38" s="10">
        <v>6285.4</v>
      </c>
      <c r="M38" s="10">
        <v>1340.2</v>
      </c>
      <c r="N38" s="11">
        <v>104352.4</v>
      </c>
      <c r="O38" s="11">
        <v>841235.7</v>
      </c>
    </row>
    <row r="39" spans="2:15" s="8" customFormat="1" ht="34.9" hidden="1" customHeight="1">
      <c r="B39" s="14">
        <v>39022</v>
      </c>
      <c r="C39" s="6">
        <v>1158.8</v>
      </c>
      <c r="D39" s="6">
        <v>9149.7999999999993</v>
      </c>
      <c r="E39" s="6">
        <v>206.9</v>
      </c>
      <c r="F39" s="6">
        <v>570.20000000000005</v>
      </c>
      <c r="G39" s="6">
        <v>23019.3</v>
      </c>
      <c r="H39" s="6">
        <v>12149.4</v>
      </c>
      <c r="I39" s="6">
        <v>11670.7</v>
      </c>
      <c r="J39" s="6">
        <v>8255.2000000000007</v>
      </c>
      <c r="K39" s="6">
        <v>29951.9</v>
      </c>
      <c r="L39" s="6">
        <v>5083.8</v>
      </c>
      <c r="M39" s="6">
        <v>631.4</v>
      </c>
      <c r="N39" s="7">
        <v>101847.40000000001</v>
      </c>
      <c r="O39" s="7">
        <v>853221.8</v>
      </c>
    </row>
    <row r="40" spans="2:15" s="8" customFormat="1" ht="34.9" hidden="1" customHeight="1">
      <c r="B40" s="15">
        <v>39052</v>
      </c>
      <c r="C40" s="10">
        <v>4348.3</v>
      </c>
      <c r="D40" s="10">
        <v>4231.2</v>
      </c>
      <c r="E40" s="10">
        <v>860.6</v>
      </c>
      <c r="F40" s="10">
        <v>240.1</v>
      </c>
      <c r="G40" s="10">
        <v>6842.4</v>
      </c>
      <c r="H40" s="10">
        <v>2294.5</v>
      </c>
      <c r="I40" s="10">
        <v>10397.9</v>
      </c>
      <c r="J40" s="10">
        <v>17658</v>
      </c>
      <c r="K40" s="10">
        <v>22656.799999999999</v>
      </c>
      <c r="L40" s="10">
        <v>5141</v>
      </c>
      <c r="M40" s="10">
        <v>724.4</v>
      </c>
      <c r="N40" s="11">
        <v>75395.199999999997</v>
      </c>
      <c r="O40" s="11">
        <v>665267.6</v>
      </c>
    </row>
    <row r="41" spans="2:15" s="8" customFormat="1" ht="34.9" hidden="1" customHeight="1">
      <c r="B41" s="3">
        <v>2007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</row>
    <row r="42" spans="2:15" s="8" customFormat="1" ht="34.9" hidden="1" customHeight="1">
      <c r="B42" s="14">
        <v>39083</v>
      </c>
      <c r="C42" s="6">
        <v>15719.6</v>
      </c>
      <c r="D42" s="6">
        <v>7907.4</v>
      </c>
      <c r="E42" s="6">
        <v>487.1</v>
      </c>
      <c r="F42" s="6">
        <v>583.79999999999995</v>
      </c>
      <c r="G42" s="6">
        <v>10226.9</v>
      </c>
      <c r="H42" s="6">
        <v>1398.3</v>
      </c>
      <c r="I42" s="6">
        <v>16304</v>
      </c>
      <c r="J42" s="6">
        <v>10225.1</v>
      </c>
      <c r="K42" s="6">
        <v>38125.1</v>
      </c>
      <c r="L42" s="6">
        <v>10439.799999999999</v>
      </c>
      <c r="M42" s="6">
        <v>1216.0999999999999</v>
      </c>
      <c r="N42" s="7">
        <f t="shared" ref="N42:N53" si="0">SUM(C42:M42)</f>
        <v>112633.2</v>
      </c>
      <c r="O42" s="7">
        <f>N42+'59a'!P43+'59a'!G43</f>
        <v>832990.89999999991</v>
      </c>
    </row>
    <row r="43" spans="2:15" s="8" customFormat="1" ht="34.9" hidden="1" customHeight="1">
      <c r="B43" s="15">
        <v>39114</v>
      </c>
      <c r="C43" s="10">
        <v>33599.300000000003</v>
      </c>
      <c r="D43" s="10">
        <v>14007.3</v>
      </c>
      <c r="E43" s="10">
        <v>316.8</v>
      </c>
      <c r="F43" s="10">
        <v>507.1</v>
      </c>
      <c r="G43" s="10">
        <v>6464.3</v>
      </c>
      <c r="H43" s="10">
        <v>9604.6</v>
      </c>
      <c r="I43" s="10">
        <v>29420.7</v>
      </c>
      <c r="J43" s="10">
        <v>10363.299999999999</v>
      </c>
      <c r="K43" s="10">
        <v>79158.8</v>
      </c>
      <c r="L43" s="10">
        <v>9219.2000000000007</v>
      </c>
      <c r="M43" s="10">
        <v>1242.9000000000001</v>
      </c>
      <c r="N43" s="11">
        <f t="shared" si="0"/>
        <v>193904.30000000002</v>
      </c>
      <c r="O43" s="11">
        <f>N43+'59a'!P44+'59a'!G44</f>
        <v>1536874</v>
      </c>
    </row>
    <row r="44" spans="2:15" s="8" customFormat="1" ht="34.9" hidden="1" customHeight="1">
      <c r="B44" s="14">
        <v>39142</v>
      </c>
      <c r="C44" s="6">
        <v>2154.3000000000002</v>
      </c>
      <c r="D44" s="6">
        <v>12532.7</v>
      </c>
      <c r="E44" s="6">
        <v>329.6</v>
      </c>
      <c r="F44" s="6">
        <v>106</v>
      </c>
      <c r="G44" s="6">
        <v>8553.7999999999993</v>
      </c>
      <c r="H44" s="6">
        <v>11308.5</v>
      </c>
      <c r="I44" s="6">
        <v>34032.400000000001</v>
      </c>
      <c r="J44" s="6">
        <v>28439.200000000001</v>
      </c>
      <c r="K44" s="6">
        <v>66861.2</v>
      </c>
      <c r="L44" s="6">
        <v>3822.6</v>
      </c>
      <c r="M44" s="6">
        <v>803</v>
      </c>
      <c r="N44" s="7">
        <f t="shared" si="0"/>
        <v>168943.30000000002</v>
      </c>
      <c r="O44" s="7">
        <f>N44+'59a'!P45+'59a'!G45</f>
        <v>1155767.3999999999</v>
      </c>
    </row>
    <row r="45" spans="2:15" s="8" customFormat="1" ht="34.9" hidden="1" customHeight="1">
      <c r="B45" s="15">
        <v>39173</v>
      </c>
      <c r="C45" s="10">
        <v>3656.9</v>
      </c>
      <c r="D45" s="10">
        <v>18918.099999999999</v>
      </c>
      <c r="E45" s="10">
        <v>1100.0999999999999</v>
      </c>
      <c r="F45" s="10">
        <v>9.9</v>
      </c>
      <c r="G45" s="10">
        <v>3252</v>
      </c>
      <c r="H45" s="10">
        <v>1039.5</v>
      </c>
      <c r="I45" s="10">
        <v>28594.2</v>
      </c>
      <c r="J45" s="10">
        <v>11309.9</v>
      </c>
      <c r="K45" s="10">
        <v>36880.800000000003</v>
      </c>
      <c r="L45" s="10">
        <v>12486</v>
      </c>
      <c r="M45" s="10">
        <v>721.2</v>
      </c>
      <c r="N45" s="11">
        <f t="shared" si="0"/>
        <v>117968.59999999999</v>
      </c>
      <c r="O45" s="11">
        <f>N45+'59a'!P46+'59a'!G46</f>
        <v>758039.3</v>
      </c>
    </row>
    <row r="46" spans="2:15" s="8" customFormat="1" ht="34.9" hidden="1" customHeight="1">
      <c r="B46" s="14">
        <v>39203</v>
      </c>
      <c r="C46" s="6">
        <v>1463.9</v>
      </c>
      <c r="D46" s="6">
        <v>21781.5</v>
      </c>
      <c r="E46" s="6">
        <v>663.5</v>
      </c>
      <c r="F46" s="6">
        <v>11.8</v>
      </c>
      <c r="G46" s="6">
        <v>12645.3</v>
      </c>
      <c r="H46" s="6">
        <v>1881.4</v>
      </c>
      <c r="I46" s="6">
        <v>15985.4</v>
      </c>
      <c r="J46" s="6">
        <v>9122.7999999999993</v>
      </c>
      <c r="K46" s="6">
        <v>81819</v>
      </c>
      <c r="L46" s="6">
        <v>12198.4</v>
      </c>
      <c r="M46" s="6">
        <v>4115.7</v>
      </c>
      <c r="N46" s="7">
        <f t="shared" si="0"/>
        <v>161688.70000000001</v>
      </c>
      <c r="O46" s="7">
        <f>N46+'59a'!P47+'59a'!G47</f>
        <v>842790.2</v>
      </c>
    </row>
    <row r="47" spans="2:15" s="8" customFormat="1" ht="34.9" hidden="1" customHeight="1">
      <c r="B47" s="15">
        <v>39234</v>
      </c>
      <c r="C47" s="10">
        <v>7458.9</v>
      </c>
      <c r="D47" s="10">
        <v>17906.8</v>
      </c>
      <c r="E47" s="10">
        <v>536.5</v>
      </c>
      <c r="F47" s="10">
        <v>105.2</v>
      </c>
      <c r="G47" s="10">
        <v>7889</v>
      </c>
      <c r="H47" s="10">
        <v>347.2</v>
      </c>
      <c r="I47" s="10">
        <v>35244.6</v>
      </c>
      <c r="J47" s="10">
        <v>11675.2</v>
      </c>
      <c r="K47" s="10">
        <v>108183.8</v>
      </c>
      <c r="L47" s="10">
        <v>21970.799999999999</v>
      </c>
      <c r="M47" s="10">
        <v>1465</v>
      </c>
      <c r="N47" s="11">
        <f t="shared" si="0"/>
        <v>212782.99999999997</v>
      </c>
      <c r="O47" s="11">
        <f>N47+'59a'!P48+'59a'!G48</f>
        <v>1014375.3</v>
      </c>
    </row>
    <row r="48" spans="2:15" s="8" customFormat="1" ht="34.9" hidden="1" customHeight="1">
      <c r="B48" s="14">
        <v>39264</v>
      </c>
      <c r="C48" s="6">
        <v>1722.1</v>
      </c>
      <c r="D48" s="6">
        <v>32264.799999999999</v>
      </c>
      <c r="E48" s="6">
        <v>1358.2</v>
      </c>
      <c r="F48" s="6">
        <v>1280.8</v>
      </c>
      <c r="G48" s="6">
        <v>15860.8</v>
      </c>
      <c r="H48" s="6">
        <v>512.9</v>
      </c>
      <c r="I48" s="6">
        <f>17005.1+230</f>
        <v>17235.099999999999</v>
      </c>
      <c r="J48" s="6">
        <f>12547.1+2058.2</f>
        <v>14605.3</v>
      </c>
      <c r="K48" s="6">
        <v>43855.9</v>
      </c>
      <c r="L48" s="6">
        <f>17547.7+565.5</f>
        <v>18113.2</v>
      </c>
      <c r="M48" s="6">
        <v>547.5</v>
      </c>
      <c r="N48" s="7">
        <f t="shared" si="0"/>
        <v>147356.6</v>
      </c>
      <c r="O48" s="7">
        <f>N48+'59a'!P49+'59a'!G49</f>
        <v>1211787.2</v>
      </c>
    </row>
    <row r="49" spans="2:15" s="8" customFormat="1" ht="34.9" hidden="1" customHeight="1">
      <c r="B49" s="15">
        <v>39295</v>
      </c>
      <c r="C49" s="10">
        <v>1343.3</v>
      </c>
      <c r="D49" s="10">
        <v>26262</v>
      </c>
      <c r="E49" s="10">
        <v>7264.6</v>
      </c>
      <c r="F49" s="10">
        <v>1103.0999999999999</v>
      </c>
      <c r="G49" s="10">
        <f>7357.7+513</f>
        <v>7870.7</v>
      </c>
      <c r="H49" s="10">
        <v>420.2</v>
      </c>
      <c r="I49" s="10">
        <f>8785+1270.6</f>
        <v>10055.6</v>
      </c>
      <c r="J49" s="10">
        <f>398.1+12592</f>
        <v>12990.1</v>
      </c>
      <c r="K49" s="10">
        <v>87378.5</v>
      </c>
      <c r="L49" s="10">
        <v>11681.7</v>
      </c>
      <c r="M49" s="10">
        <v>959.3</v>
      </c>
      <c r="N49" s="11">
        <f t="shared" si="0"/>
        <v>167329.09999999998</v>
      </c>
      <c r="O49" s="11">
        <f>N49+'59a'!P50+'59a'!G50</f>
        <v>734980.5</v>
      </c>
    </row>
    <row r="50" spans="2:15" s="8" customFormat="1" ht="34.9" hidden="1" customHeight="1">
      <c r="B50" s="14">
        <v>39326</v>
      </c>
      <c r="C50" s="6">
        <v>1527.2</v>
      </c>
      <c r="D50" s="6">
        <v>10413.299999999999</v>
      </c>
      <c r="E50" s="6">
        <v>11307.5</v>
      </c>
      <c r="F50" s="6">
        <v>726.4</v>
      </c>
      <c r="G50" s="6">
        <v>4820.6000000000004</v>
      </c>
      <c r="H50" s="6">
        <v>989.8</v>
      </c>
      <c r="I50" s="6">
        <v>8353.6</v>
      </c>
      <c r="J50" s="6">
        <f>16307.2+212.4</f>
        <v>16519.600000000002</v>
      </c>
      <c r="K50" s="6">
        <f>16472.4+2454.9</f>
        <v>18927.300000000003</v>
      </c>
      <c r="L50" s="6">
        <f>430+28934.3</f>
        <v>29364.3</v>
      </c>
      <c r="M50" s="6">
        <v>3629.7</v>
      </c>
      <c r="N50" s="7">
        <f t="shared" si="0"/>
        <v>106579.3</v>
      </c>
      <c r="O50" s="7">
        <f>N50+'59a'!P51+'59a'!G51</f>
        <v>908622.4</v>
      </c>
    </row>
    <row r="51" spans="2:15" s="8" customFormat="1" ht="34.9" hidden="1" customHeight="1">
      <c r="B51" s="15">
        <v>39356</v>
      </c>
      <c r="C51" s="10">
        <v>2392.6999999999998</v>
      </c>
      <c r="D51" s="10">
        <f>27974.5+618+200+370+250+300+450</f>
        <v>30162.5</v>
      </c>
      <c r="E51" s="10">
        <v>8014.9</v>
      </c>
      <c r="F51" s="10">
        <v>1390.6</v>
      </c>
      <c r="G51" s="10">
        <v>3962.9</v>
      </c>
      <c r="H51" s="10">
        <v>1473.2</v>
      </c>
      <c r="I51" s="10">
        <v>34112.1</v>
      </c>
      <c r="J51" s="10">
        <v>18237.8</v>
      </c>
      <c r="K51" s="10">
        <f>42497.5+542+769.6+1161.3+486.7+542.4+211.4</f>
        <v>46210.9</v>
      </c>
      <c r="L51" s="10">
        <f>18134.8+221</f>
        <v>18355.8</v>
      </c>
      <c r="M51" s="10">
        <v>2713.8</v>
      </c>
      <c r="N51" s="11">
        <f t="shared" si="0"/>
        <v>167027.19999999998</v>
      </c>
      <c r="O51" s="11">
        <f>N51+'59a'!P52+'59a'!G52</f>
        <v>1268417.8999999999</v>
      </c>
    </row>
    <row r="52" spans="2:15" s="8" customFormat="1" ht="34.9" hidden="1" customHeight="1">
      <c r="B52" s="14">
        <v>39387</v>
      </c>
      <c r="C52" s="6">
        <v>1653.8</v>
      </c>
      <c r="D52" s="6">
        <f>48892.2+458.4+660+420+300</f>
        <v>50730.6</v>
      </c>
      <c r="E52" s="6">
        <v>7010.6</v>
      </c>
      <c r="F52" s="6">
        <f>767.6+200+1300+1916.8</f>
        <v>4184.3999999999996</v>
      </c>
      <c r="G52" s="6">
        <v>3627.6</v>
      </c>
      <c r="H52" s="6">
        <v>1587.2</v>
      </c>
      <c r="I52" s="6">
        <v>38004.6</v>
      </c>
      <c r="J52" s="6">
        <v>30983.4</v>
      </c>
      <c r="K52" s="6">
        <f>20915.7+700+1450+875+875+1651.2</f>
        <v>26466.9</v>
      </c>
      <c r="L52" s="6">
        <v>25059.1</v>
      </c>
      <c r="M52" s="6">
        <v>2477.8000000000002</v>
      </c>
      <c r="N52" s="7">
        <f t="shared" si="0"/>
        <v>191785.99999999997</v>
      </c>
      <c r="O52" s="7">
        <f>N52+'59a'!P53+'59a'!G53</f>
        <v>1156564.8999999999</v>
      </c>
    </row>
    <row r="53" spans="2:15" s="8" customFormat="1" ht="34.9" hidden="1" customHeight="1">
      <c r="B53" s="15">
        <v>39417</v>
      </c>
      <c r="C53" s="10">
        <v>3009.7</v>
      </c>
      <c r="D53" s="10">
        <v>18949.5</v>
      </c>
      <c r="E53" s="10">
        <v>4292.3999999999996</v>
      </c>
      <c r="F53" s="10">
        <v>111.8</v>
      </c>
      <c r="G53" s="10">
        <v>2120.8000000000002</v>
      </c>
      <c r="H53" s="10">
        <v>1713.5</v>
      </c>
      <c r="I53" s="10">
        <v>67181.7</v>
      </c>
      <c r="J53" s="10">
        <v>12285</v>
      </c>
      <c r="K53" s="10">
        <v>24703.599999999999</v>
      </c>
      <c r="L53" s="10">
        <v>26854.1</v>
      </c>
      <c r="M53" s="10">
        <v>1653.5</v>
      </c>
      <c r="N53" s="11">
        <f t="shared" si="0"/>
        <v>162875.6</v>
      </c>
      <c r="O53" s="11">
        <f>N53+'59a'!P54+'59a'!G54</f>
        <v>926892.10000000009</v>
      </c>
    </row>
    <row r="54" spans="2:15" s="8" customFormat="1" ht="34.9" hidden="1" customHeight="1">
      <c r="B54" s="3">
        <v>2008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</row>
    <row r="55" spans="2:15" s="8" customFormat="1" ht="34.9" hidden="1" customHeight="1">
      <c r="B55" s="14">
        <v>39448</v>
      </c>
      <c r="C55" s="6">
        <v>3162.6</v>
      </c>
      <c r="D55" s="6">
        <f>13683.9+1023</f>
        <v>14706.9</v>
      </c>
      <c r="E55" s="6">
        <v>3274.8</v>
      </c>
      <c r="F55" s="6">
        <v>66.900000000000006</v>
      </c>
      <c r="G55" s="6">
        <v>2267.6</v>
      </c>
      <c r="H55" s="6">
        <v>984.6</v>
      </c>
      <c r="I55" s="6">
        <v>121866.5</v>
      </c>
      <c r="J55" s="6">
        <f>10538.3+618.9+330.2+330.1</f>
        <v>11817.5</v>
      </c>
      <c r="K55" s="6">
        <f>39065.4+617.1+575+1200</f>
        <v>41457.5</v>
      </c>
      <c r="L55" s="6">
        <f>10832.1+579</f>
        <v>11411.1</v>
      </c>
      <c r="M55" s="6">
        <v>1500.8</v>
      </c>
      <c r="N55" s="7">
        <f t="shared" ref="N55:N66" si="1">SUM(C55:M55)</f>
        <v>212516.8</v>
      </c>
      <c r="O55" s="7">
        <f>N55+'59a'!P56+'59a'!G56</f>
        <v>1407364.1</v>
      </c>
    </row>
    <row r="56" spans="2:15" s="8" customFormat="1" ht="34.9" hidden="1" customHeight="1">
      <c r="B56" s="15">
        <v>39479</v>
      </c>
      <c r="C56" s="10">
        <v>1674.2</v>
      </c>
      <c r="D56" s="10">
        <v>15697.2</v>
      </c>
      <c r="E56" s="10">
        <v>5622.9</v>
      </c>
      <c r="F56" s="10">
        <v>1207.9000000000001</v>
      </c>
      <c r="G56" s="10">
        <v>37808.199999999997</v>
      </c>
      <c r="H56" s="10">
        <v>11136.5</v>
      </c>
      <c r="I56" s="10">
        <v>146023.70000000001</v>
      </c>
      <c r="J56" s="10">
        <v>24687.599999999999</v>
      </c>
      <c r="K56" s="10">
        <v>38975.5</v>
      </c>
      <c r="L56" s="10">
        <v>11701</v>
      </c>
      <c r="M56" s="10">
        <v>770</v>
      </c>
      <c r="N56" s="11">
        <f t="shared" si="1"/>
        <v>295304.7</v>
      </c>
      <c r="O56" s="11">
        <f>N56+'59a'!P57+'59a'!G57</f>
        <v>1269352.8999999999</v>
      </c>
    </row>
    <row r="57" spans="2:15" s="8" customFormat="1" ht="34.9" hidden="1" customHeight="1">
      <c r="B57" s="14">
        <v>39508</v>
      </c>
      <c r="C57" s="6">
        <v>1247.8</v>
      </c>
      <c r="D57" s="6">
        <v>14742.8</v>
      </c>
      <c r="E57" s="6">
        <v>5.5</v>
      </c>
      <c r="F57" s="6">
        <v>610</v>
      </c>
      <c r="G57" s="6">
        <f>8545.7+240</f>
        <v>8785.7000000000007</v>
      </c>
      <c r="H57" s="6">
        <v>857.6</v>
      </c>
      <c r="I57" s="6">
        <v>367819.8</v>
      </c>
      <c r="J57" s="6">
        <v>8306.5</v>
      </c>
      <c r="K57" s="6">
        <f>29270.3+744+370.5+372+249</f>
        <v>31005.8</v>
      </c>
      <c r="L57" s="6">
        <f>6870.6+203.2+203.2+211.1</f>
        <v>7488.1</v>
      </c>
      <c r="M57" s="6">
        <v>380.7</v>
      </c>
      <c r="N57" s="7">
        <f t="shared" si="1"/>
        <v>441250.3</v>
      </c>
      <c r="O57" s="7">
        <f>N57+'59a'!P58+'59a'!G58</f>
        <v>1981241.3</v>
      </c>
    </row>
    <row r="58" spans="2:15" s="8" customFormat="1" ht="34.9" hidden="1" customHeight="1">
      <c r="B58" s="15">
        <v>39539</v>
      </c>
      <c r="C58" s="10">
        <v>1404.6</v>
      </c>
      <c r="D58" s="10">
        <v>13517.1</v>
      </c>
      <c r="E58" s="10">
        <v>7612.1</v>
      </c>
      <c r="F58" s="10">
        <v>499</v>
      </c>
      <c r="G58" s="10">
        <v>3975.3</v>
      </c>
      <c r="H58" s="10">
        <v>559.79999999999995</v>
      </c>
      <c r="I58" s="10">
        <f>406027.7+242+682.4</f>
        <v>406952.10000000003</v>
      </c>
      <c r="J58" s="10">
        <v>7604.2</v>
      </c>
      <c r="K58" s="10">
        <v>38228.5</v>
      </c>
      <c r="L58" s="10">
        <v>3319.7</v>
      </c>
      <c r="M58" s="10">
        <v>696.5</v>
      </c>
      <c r="N58" s="11">
        <f t="shared" si="1"/>
        <v>484368.90000000008</v>
      </c>
      <c r="O58" s="11">
        <f>N58+'59a'!P59+'59a'!G59</f>
        <v>2046666.6</v>
      </c>
    </row>
    <row r="59" spans="2:15" s="8" customFormat="1" ht="34.9" hidden="1" customHeight="1">
      <c r="B59" s="14">
        <v>39569</v>
      </c>
      <c r="C59" s="6">
        <v>1611.681</v>
      </c>
      <c r="D59" s="6">
        <f>18842.868+435</f>
        <v>19277.867999999999</v>
      </c>
      <c r="E59" s="6">
        <v>4427.0519999999997</v>
      </c>
      <c r="F59" s="6">
        <v>118.06399999999999</v>
      </c>
      <c r="G59" s="6">
        <v>8860.5010000000002</v>
      </c>
      <c r="H59" s="6">
        <v>1184.268</v>
      </c>
      <c r="I59" s="6">
        <f>366512.004+674.4</f>
        <v>367186.40400000004</v>
      </c>
      <c r="J59" s="6">
        <v>8726.8960000000006</v>
      </c>
      <c r="K59" s="6">
        <f>26662.958+580.8+387.2+8856+6065.445+8400+13008+430.5+525.285+1419+1902.982+1222.432+451.5+1290+2089.8+645+532+565.5</f>
        <v>75034.402000000002</v>
      </c>
      <c r="L59" s="6">
        <v>3723.163</v>
      </c>
      <c r="M59" s="6">
        <v>490.50299999999999</v>
      </c>
      <c r="N59" s="7">
        <f t="shared" si="1"/>
        <v>490640.80200000008</v>
      </c>
      <c r="O59" s="7">
        <f>N59+'59a'!P60+'59a'!G60</f>
        <v>2063237.0930000001</v>
      </c>
    </row>
    <row r="60" spans="2:15" s="8" customFormat="1" ht="34.9" hidden="1" customHeight="1">
      <c r="B60" s="15">
        <v>39600</v>
      </c>
      <c r="C60" s="10">
        <v>3534.1</v>
      </c>
      <c r="D60" s="10">
        <v>40793.199999999997</v>
      </c>
      <c r="E60" s="10">
        <v>2372</v>
      </c>
      <c r="F60" s="10">
        <v>242.1</v>
      </c>
      <c r="G60" s="10">
        <v>13964.4</v>
      </c>
      <c r="H60" s="10">
        <v>6131.8</v>
      </c>
      <c r="I60" s="10">
        <v>688102.2</v>
      </c>
      <c r="J60" s="10">
        <v>31305</v>
      </c>
      <c r="K60" s="10">
        <v>110465.4</v>
      </c>
      <c r="L60" s="10">
        <v>2807.5</v>
      </c>
      <c r="M60" s="10">
        <v>1410.7</v>
      </c>
      <c r="N60" s="11">
        <f t="shared" si="1"/>
        <v>901128.39999999991</v>
      </c>
      <c r="O60" s="11">
        <f>N60+'59a'!P61+'59a'!G61</f>
        <v>3525115</v>
      </c>
    </row>
    <row r="61" spans="2:15" s="8" customFormat="1" ht="34.9" hidden="1" customHeight="1">
      <c r="B61" s="14">
        <v>39630</v>
      </c>
      <c r="C61" s="6">
        <v>2717.4</v>
      </c>
      <c r="D61" s="6">
        <v>58556.4</v>
      </c>
      <c r="E61" s="6">
        <v>3889.4</v>
      </c>
      <c r="F61" s="6">
        <v>547.79999999999995</v>
      </c>
      <c r="G61" s="6">
        <v>10511.9</v>
      </c>
      <c r="H61" s="6">
        <v>724.1</v>
      </c>
      <c r="I61" s="6">
        <v>661816.19999999995</v>
      </c>
      <c r="J61" s="6">
        <v>13551.5</v>
      </c>
      <c r="K61" s="6">
        <v>25514.9</v>
      </c>
      <c r="L61" s="6">
        <v>18701.3</v>
      </c>
      <c r="M61" s="6">
        <v>511.5</v>
      </c>
      <c r="N61" s="7">
        <f t="shared" si="1"/>
        <v>797042.4</v>
      </c>
      <c r="O61" s="7">
        <f>N61+'59a'!P62+'59a'!G62</f>
        <v>2779394.4000000004</v>
      </c>
    </row>
    <row r="62" spans="2:15" s="8" customFormat="1" ht="34.9" hidden="1" customHeight="1">
      <c r="B62" s="15">
        <v>39661</v>
      </c>
      <c r="C62" s="10">
        <v>618.53099999999995</v>
      </c>
      <c r="D62" s="10">
        <f>39919.488+121.994</f>
        <v>40041.481999999996</v>
      </c>
      <c r="E62" s="10">
        <v>1121.9280000000001</v>
      </c>
      <c r="F62" s="10">
        <v>594.04399999999998</v>
      </c>
      <c r="G62" s="10">
        <v>3140.4160000000002</v>
      </c>
      <c r="H62" s="10">
        <v>269.32400000000001</v>
      </c>
      <c r="I62" s="10">
        <f>412804.671+503.44</f>
        <v>413308.11099999998</v>
      </c>
      <c r="J62" s="10">
        <v>4201.0540000000001</v>
      </c>
      <c r="K62" s="10">
        <f>22628.824+648+1393.2</f>
        <v>24670.024000000001</v>
      </c>
      <c r="L62" s="10">
        <v>7162.6790000000001</v>
      </c>
      <c r="M62" s="10">
        <v>254.524</v>
      </c>
      <c r="N62" s="11">
        <f t="shared" si="1"/>
        <v>495382.11699999991</v>
      </c>
      <c r="O62" s="11">
        <f>N62+'59a'!P63+'59a'!G63</f>
        <v>1617109.81</v>
      </c>
    </row>
    <row r="63" spans="2:15" s="8" customFormat="1" ht="34.9" hidden="1" customHeight="1">
      <c r="B63" s="14">
        <v>39692</v>
      </c>
      <c r="C63" s="6">
        <v>742.298</v>
      </c>
      <c r="D63" s="6">
        <v>28262.863000000001</v>
      </c>
      <c r="E63" s="6">
        <v>1245.585</v>
      </c>
      <c r="F63" s="6">
        <v>900.43100000000004</v>
      </c>
      <c r="G63" s="6">
        <v>6969.1239999999998</v>
      </c>
      <c r="H63" s="6">
        <v>336.97899999999998</v>
      </c>
      <c r="I63" s="6">
        <f>471457.587+76662+562.5+23040+3578.715+16905+2634.466</f>
        <v>594840.26800000004</v>
      </c>
      <c r="J63" s="6">
        <v>6005.2190000000001</v>
      </c>
      <c r="K63" s="6">
        <f>12537.385+757.5+1000.5</f>
        <v>14295.385</v>
      </c>
      <c r="L63" s="6">
        <v>1813.6880000000001</v>
      </c>
      <c r="M63" s="6">
        <v>993.4</v>
      </c>
      <c r="N63" s="7">
        <f t="shared" si="1"/>
        <v>656405.24000000011</v>
      </c>
      <c r="O63" s="7">
        <f>N63+'59a'!P64+'59a'!G64</f>
        <v>1391563.21</v>
      </c>
    </row>
    <row r="64" spans="2:15" s="8" customFormat="1" ht="34.9" hidden="1" customHeight="1">
      <c r="B64" s="15">
        <v>39722</v>
      </c>
      <c r="C64" s="10">
        <v>1656.0450000000001</v>
      </c>
      <c r="D64" s="10">
        <f>12770.162+500.03</f>
        <v>13270.192000000001</v>
      </c>
      <c r="E64" s="10">
        <v>483.87599999999998</v>
      </c>
      <c r="F64" s="10">
        <v>70.427000000000007</v>
      </c>
      <c r="G64" s="10">
        <v>2325.7779999999998</v>
      </c>
      <c r="H64" s="10">
        <v>696.12599999999998</v>
      </c>
      <c r="I64" s="10">
        <f>145270.943+27487.158+3908.129+1011.5</f>
        <v>177677.72999999998</v>
      </c>
      <c r="J64" s="10">
        <v>3978.8449999999998</v>
      </c>
      <c r="K64" s="10">
        <f>25549.834+1215</f>
        <v>26764.833999999999</v>
      </c>
      <c r="L64" s="10">
        <v>6007.125</v>
      </c>
      <c r="M64" s="10">
        <v>147.352</v>
      </c>
      <c r="N64" s="11">
        <f t="shared" si="1"/>
        <v>233078.33</v>
      </c>
      <c r="O64" s="11">
        <f>N64+'59a'!P65+'59a'!G65</f>
        <v>876599.33899999992</v>
      </c>
    </row>
    <row r="65" spans="2:15" s="8" customFormat="1" ht="34.9" hidden="1" customHeight="1">
      <c r="B65" s="14">
        <v>39753</v>
      </c>
      <c r="C65" s="6">
        <v>441.12400000000002</v>
      </c>
      <c r="D65" s="6">
        <v>12276.99</v>
      </c>
      <c r="E65" s="6">
        <v>471.22899999999998</v>
      </c>
      <c r="F65" s="6">
        <v>34.883000000000003</v>
      </c>
      <c r="G65" s="6">
        <v>967.78200000000004</v>
      </c>
      <c r="H65" s="6">
        <v>580.35199999999998</v>
      </c>
      <c r="I65" s="6">
        <v>108263.55499999999</v>
      </c>
      <c r="J65" s="6">
        <v>5707.7240000000002</v>
      </c>
      <c r="K65" s="6">
        <f>17409.113+514.8+1170</f>
        <v>19093.913</v>
      </c>
      <c r="L65" s="6">
        <v>8102.9639999999999</v>
      </c>
      <c r="M65" s="6">
        <v>88.444000000000003</v>
      </c>
      <c r="N65" s="7">
        <f t="shared" si="1"/>
        <v>156028.96</v>
      </c>
      <c r="O65" s="7">
        <f>N65+'59a'!P66+'59a'!G66</f>
        <v>862218.67999999993</v>
      </c>
    </row>
    <row r="66" spans="2:15" s="8" customFormat="1" ht="34.9" hidden="1" customHeight="1">
      <c r="B66" s="15">
        <v>39783</v>
      </c>
      <c r="C66" s="10">
        <v>266.2</v>
      </c>
      <c r="D66" s="10">
        <v>4366.7</v>
      </c>
      <c r="E66" s="10">
        <v>208.4</v>
      </c>
      <c r="F66" s="10">
        <v>6.8</v>
      </c>
      <c r="G66" s="10">
        <v>406.2</v>
      </c>
      <c r="H66" s="10">
        <v>1331</v>
      </c>
      <c r="I66" s="10">
        <v>63628.5</v>
      </c>
      <c r="J66" s="10">
        <v>7926.8</v>
      </c>
      <c r="K66" s="10">
        <v>13394.3</v>
      </c>
      <c r="L66" s="10">
        <v>2081.6999999999998</v>
      </c>
      <c r="M66" s="10">
        <v>72.400000000000006</v>
      </c>
      <c r="N66" s="11">
        <f t="shared" si="1"/>
        <v>93689</v>
      </c>
      <c r="O66" s="11">
        <f>N66+'59a'!P67+'59a'!G67</f>
        <v>498152.19999999995</v>
      </c>
    </row>
    <row r="67" spans="2:15" s="8" customFormat="1" ht="34.9" hidden="1" customHeight="1">
      <c r="B67" s="3">
        <v>2009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  <c r="O67" s="13"/>
    </row>
    <row r="68" spans="2:15" s="8" customFormat="1" ht="34.9" hidden="1" customHeight="1">
      <c r="B68" s="14">
        <v>39814</v>
      </c>
      <c r="C68" s="6">
        <v>371.4</v>
      </c>
      <c r="D68" s="6">
        <v>10171.4</v>
      </c>
      <c r="E68" s="6">
        <v>573.20000000000005</v>
      </c>
      <c r="F68" s="6">
        <v>40.200000000000003</v>
      </c>
      <c r="G68" s="6">
        <v>529.79999999999995</v>
      </c>
      <c r="H68" s="6">
        <v>545.5</v>
      </c>
      <c r="I68" s="6">
        <v>56866.400000000001</v>
      </c>
      <c r="J68" s="6">
        <v>12785.5</v>
      </c>
      <c r="K68" s="6">
        <v>12848.2</v>
      </c>
      <c r="L68" s="6">
        <v>1552.4</v>
      </c>
      <c r="M68" s="6">
        <v>111.5</v>
      </c>
      <c r="N68" s="7">
        <f t="shared" ref="N68:N79" si="2">SUM(C68:M68)</f>
        <v>96395.499999999985</v>
      </c>
      <c r="O68" s="7">
        <f>N68+'59a'!P69+'59a'!G69</f>
        <v>600124.5</v>
      </c>
    </row>
    <row r="69" spans="2:15" s="8" customFormat="1" ht="34.9" hidden="1" customHeight="1">
      <c r="B69" s="15">
        <v>39845</v>
      </c>
      <c r="C69" s="10">
        <v>741.47</v>
      </c>
      <c r="D69" s="10">
        <v>25849.200000000001</v>
      </c>
      <c r="E69" s="10">
        <v>3139.23</v>
      </c>
      <c r="F69" s="10">
        <v>22.85</v>
      </c>
      <c r="G69" s="10">
        <v>1172.6199999999999</v>
      </c>
      <c r="H69" s="10">
        <v>840.09</v>
      </c>
      <c r="I69" s="10">
        <v>38589.9</v>
      </c>
      <c r="J69" s="10">
        <v>16907.12</v>
      </c>
      <c r="K69" s="10">
        <v>1416.86</v>
      </c>
      <c r="L69" s="10">
        <v>10684.66</v>
      </c>
      <c r="M69" s="10">
        <v>417.11</v>
      </c>
      <c r="N69" s="11">
        <f t="shared" si="2"/>
        <v>99781.11</v>
      </c>
      <c r="O69" s="11">
        <f>N69+'59a'!P70+'59a'!G70</f>
        <v>979697.62000000011</v>
      </c>
    </row>
    <row r="70" spans="2:15" s="8" customFormat="1" ht="34.9" hidden="1" customHeight="1">
      <c r="B70" s="14">
        <v>39873</v>
      </c>
      <c r="C70" s="6">
        <v>419.43</v>
      </c>
      <c r="D70" s="6">
        <v>29899.7</v>
      </c>
      <c r="E70" s="6">
        <v>1961.3</v>
      </c>
      <c r="F70" s="6">
        <v>26.46</v>
      </c>
      <c r="G70" s="6">
        <v>1933.81</v>
      </c>
      <c r="H70" s="6">
        <v>363.88</v>
      </c>
      <c r="I70" s="6">
        <f>45512.29+3432+1716</f>
        <v>50660.29</v>
      </c>
      <c r="J70" s="6">
        <v>25171.7</v>
      </c>
      <c r="K70" s="6">
        <v>2416.11</v>
      </c>
      <c r="L70" s="6">
        <v>10321.73</v>
      </c>
      <c r="M70" s="6">
        <v>280.27999999999997</v>
      </c>
      <c r="N70" s="7">
        <f t="shared" si="2"/>
        <v>123454.68999999999</v>
      </c>
      <c r="O70" s="7">
        <f>N70+'59a'!P71+'59a'!G71</f>
        <v>1171232.8700000001</v>
      </c>
    </row>
    <row r="71" spans="2:15" s="8" customFormat="1" ht="34.9" hidden="1" customHeight="1">
      <c r="B71" s="15">
        <v>39904</v>
      </c>
      <c r="C71" s="10">
        <v>481.3</v>
      </c>
      <c r="D71" s="10">
        <v>23331.3</v>
      </c>
      <c r="E71" s="10">
        <v>1853.8</v>
      </c>
      <c r="F71" s="10">
        <v>75.7</v>
      </c>
      <c r="G71" s="10">
        <v>1409.4</v>
      </c>
      <c r="H71" s="10">
        <v>929.8</v>
      </c>
      <c r="I71" s="10">
        <f>70695.4+3676+1838</f>
        <v>76209.399999999994</v>
      </c>
      <c r="J71" s="10">
        <v>33704.6</v>
      </c>
      <c r="K71" s="10">
        <v>6285.62</v>
      </c>
      <c r="L71" s="10">
        <v>2684.68</v>
      </c>
      <c r="M71" s="10">
        <v>266.27</v>
      </c>
      <c r="N71" s="11">
        <f t="shared" si="2"/>
        <v>147231.86999999997</v>
      </c>
      <c r="O71" s="11">
        <f>N71+'59a'!P72+'59a'!G72</f>
        <v>1205092.48</v>
      </c>
    </row>
    <row r="72" spans="2:15" s="8" customFormat="1" ht="34.9" hidden="1" customHeight="1">
      <c r="B72" s="14">
        <v>39934</v>
      </c>
      <c r="C72" s="6">
        <v>897.3</v>
      </c>
      <c r="D72" s="6">
        <v>19919.5</v>
      </c>
      <c r="E72" s="6">
        <v>844.3</v>
      </c>
      <c r="F72" s="6">
        <v>32.1</v>
      </c>
      <c r="G72" s="6">
        <v>486.5</v>
      </c>
      <c r="H72" s="6">
        <v>1254.4000000000001</v>
      </c>
      <c r="I72" s="6">
        <v>83289.8</v>
      </c>
      <c r="J72" s="6">
        <v>12952</v>
      </c>
      <c r="K72" s="6">
        <f>3847.7+18.8</f>
        <v>3866.5</v>
      </c>
      <c r="L72" s="6">
        <v>1092.5</v>
      </c>
      <c r="M72" s="6">
        <v>386</v>
      </c>
      <c r="N72" s="7">
        <f t="shared" si="2"/>
        <v>125020.9</v>
      </c>
      <c r="O72" s="7">
        <f>N72+'59a'!P73+'59a'!G73</f>
        <v>1108074.3999999999</v>
      </c>
    </row>
    <row r="73" spans="2:15" s="8" customFormat="1" ht="34.9" hidden="1" customHeight="1">
      <c r="B73" s="15">
        <v>39965</v>
      </c>
      <c r="C73" s="10">
        <f>3013.7</f>
        <v>3013.7</v>
      </c>
      <c r="D73" s="10">
        <v>18919.400000000001</v>
      </c>
      <c r="E73" s="10">
        <v>564.4</v>
      </c>
      <c r="F73" s="10">
        <v>106.8</v>
      </c>
      <c r="G73" s="10">
        <v>729.4</v>
      </c>
      <c r="H73" s="10">
        <v>3565.1</v>
      </c>
      <c r="I73" s="10">
        <f>118431.8</f>
        <v>118431.8</v>
      </c>
      <c r="J73" s="10">
        <f>18091.9+634.5</f>
        <v>18726.400000000001</v>
      </c>
      <c r="K73" s="10">
        <v>5134.2</v>
      </c>
      <c r="L73" s="10">
        <v>4072.5</v>
      </c>
      <c r="M73" s="10">
        <v>4697</v>
      </c>
      <c r="N73" s="11">
        <f t="shared" si="2"/>
        <v>177960.7</v>
      </c>
      <c r="O73" s="11">
        <f>N73+'59a'!P74+'59a'!G74</f>
        <v>962222.83100000001</v>
      </c>
    </row>
    <row r="74" spans="2:15" s="8" customFormat="1" ht="34.9" hidden="1" customHeight="1">
      <c r="B74" s="14">
        <v>39995</v>
      </c>
      <c r="C74" s="6">
        <v>359.9</v>
      </c>
      <c r="D74" s="6">
        <v>6323.3</v>
      </c>
      <c r="E74" s="6">
        <v>458.3</v>
      </c>
      <c r="F74" s="6">
        <v>29.1</v>
      </c>
      <c r="G74" s="6">
        <v>2253.6</v>
      </c>
      <c r="H74" s="6">
        <v>914.2</v>
      </c>
      <c r="I74" s="6">
        <v>66493.399999999994</v>
      </c>
      <c r="J74" s="6">
        <v>6800.8990000000003</v>
      </c>
      <c r="K74" s="6">
        <v>2707.9690000000001</v>
      </c>
      <c r="L74" s="6">
        <v>2630.6</v>
      </c>
      <c r="M74" s="6">
        <v>974.89800000000002</v>
      </c>
      <c r="N74" s="7">
        <f t="shared" si="2"/>
        <v>89946.165999999997</v>
      </c>
      <c r="O74" s="7">
        <f>N74+'59a'!P75+'59a'!G75</f>
        <v>550393.31799999997</v>
      </c>
    </row>
    <row r="75" spans="2:15" s="8" customFormat="1" ht="34.9" hidden="1" customHeight="1">
      <c r="B75" s="15">
        <v>40026</v>
      </c>
      <c r="C75" s="10">
        <v>475.3</v>
      </c>
      <c r="D75" s="10">
        <v>5929</v>
      </c>
      <c r="E75" s="10">
        <v>364.8</v>
      </c>
      <c r="F75" s="10">
        <v>20.5</v>
      </c>
      <c r="G75" s="10">
        <v>14742.5</v>
      </c>
      <c r="H75" s="10">
        <v>246.8</v>
      </c>
      <c r="I75" s="10">
        <v>37372.400000000001</v>
      </c>
      <c r="J75" s="10">
        <v>5501.6</v>
      </c>
      <c r="K75" s="10">
        <v>1530.9</v>
      </c>
      <c r="L75" s="10">
        <v>8632</v>
      </c>
      <c r="M75" s="10">
        <v>7268.7</v>
      </c>
      <c r="N75" s="11">
        <f t="shared" si="2"/>
        <v>82084.5</v>
      </c>
      <c r="O75" s="11">
        <f>N75+'59a'!P76+'59a'!G76</f>
        <v>482419.9</v>
      </c>
    </row>
    <row r="76" spans="2:15" s="8" customFormat="1" ht="34.9" hidden="1" customHeight="1">
      <c r="B76" s="14">
        <v>40057</v>
      </c>
      <c r="C76" s="6">
        <v>266.39999999999998</v>
      </c>
      <c r="D76" s="6">
        <v>6840.3</v>
      </c>
      <c r="E76" s="6">
        <v>1454.5</v>
      </c>
      <c r="F76" s="6">
        <v>47.9</v>
      </c>
      <c r="G76" s="6">
        <v>7542.2</v>
      </c>
      <c r="H76" s="6">
        <v>913.2</v>
      </c>
      <c r="I76" s="6">
        <v>30427.4</v>
      </c>
      <c r="J76" s="6">
        <v>7929.5</v>
      </c>
      <c r="K76" s="6">
        <v>1678.6</v>
      </c>
      <c r="L76" s="6">
        <v>7762.8</v>
      </c>
      <c r="M76" s="6">
        <v>16302.6</v>
      </c>
      <c r="N76" s="7">
        <f t="shared" si="2"/>
        <v>81165.400000000009</v>
      </c>
      <c r="O76" s="7">
        <f>N76+'59a'!P77+'59a'!G77</f>
        <v>728854.2</v>
      </c>
    </row>
    <row r="77" spans="2:15" s="8" customFormat="1" ht="34.9" hidden="1" customHeight="1">
      <c r="B77" s="15">
        <v>40087</v>
      </c>
      <c r="C77" s="10">
        <v>1678.6</v>
      </c>
      <c r="D77" s="10">
        <v>7557.86</v>
      </c>
      <c r="E77" s="10">
        <v>230.5</v>
      </c>
      <c r="F77" s="10">
        <v>14.8</v>
      </c>
      <c r="G77" s="10">
        <v>3144.5</v>
      </c>
      <c r="H77" s="10">
        <v>671.9</v>
      </c>
      <c r="I77" s="10">
        <v>75896.899999999994</v>
      </c>
      <c r="J77" s="10">
        <v>8544.5</v>
      </c>
      <c r="K77" s="10">
        <v>2065.9</v>
      </c>
      <c r="L77" s="10">
        <v>13564.8</v>
      </c>
      <c r="M77" s="10">
        <f>14291.3+684+1482</f>
        <v>16457.3</v>
      </c>
      <c r="N77" s="11">
        <f t="shared" si="2"/>
        <v>129827.56</v>
      </c>
      <c r="O77" s="11">
        <f>N77+'59a'!P78+'59a'!G78</f>
        <v>747940.5</v>
      </c>
    </row>
    <row r="78" spans="2:15" s="8" customFormat="1" ht="34.9" hidden="1" customHeight="1">
      <c r="B78" s="14">
        <v>40118</v>
      </c>
      <c r="C78" s="6">
        <v>330.6</v>
      </c>
      <c r="D78" s="6">
        <v>2845.9</v>
      </c>
      <c r="E78" s="6">
        <v>294.8</v>
      </c>
      <c r="F78" s="6">
        <v>35.5</v>
      </c>
      <c r="G78" s="6">
        <f>5524.4</f>
        <v>5524.4</v>
      </c>
      <c r="H78" s="6">
        <v>675.7</v>
      </c>
      <c r="I78" s="6">
        <v>21797.3</v>
      </c>
      <c r="J78" s="6">
        <v>3325.9</v>
      </c>
      <c r="K78" s="6">
        <v>780.2</v>
      </c>
      <c r="L78" s="6">
        <f>13465.2+501.8</f>
        <v>13967</v>
      </c>
      <c r="M78" s="6">
        <v>9665.6</v>
      </c>
      <c r="N78" s="7">
        <f t="shared" si="2"/>
        <v>59242.899999999994</v>
      </c>
      <c r="O78" s="7">
        <f>N78+'59a'!P79+'59a'!G79</f>
        <v>474207.4</v>
      </c>
    </row>
    <row r="79" spans="2:15" s="8" customFormat="1" ht="34.9" hidden="1" customHeight="1">
      <c r="B79" s="15">
        <v>40148</v>
      </c>
      <c r="C79" s="10">
        <v>776.7</v>
      </c>
      <c r="D79" s="10">
        <v>4513.8</v>
      </c>
      <c r="E79" s="10">
        <v>271.89999999999998</v>
      </c>
      <c r="F79" s="10">
        <v>59.8</v>
      </c>
      <c r="G79" s="10">
        <v>5462.7</v>
      </c>
      <c r="H79" s="10">
        <v>492.5</v>
      </c>
      <c r="I79" s="10">
        <v>31258.400000000001</v>
      </c>
      <c r="J79" s="10">
        <v>3135.1</v>
      </c>
      <c r="K79" s="10">
        <v>5776.3</v>
      </c>
      <c r="L79" s="10">
        <v>17993.2</v>
      </c>
      <c r="M79" s="10">
        <v>7900.8</v>
      </c>
      <c r="N79" s="11">
        <f t="shared" si="2"/>
        <v>77641.200000000012</v>
      </c>
      <c r="O79" s="11">
        <f>N79+'59a'!P80+'59a'!G80</f>
        <v>655050.60000000009</v>
      </c>
    </row>
    <row r="80" spans="2:15" s="8" customFormat="1" ht="34.9" hidden="1" customHeight="1">
      <c r="B80" s="3">
        <v>2010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/>
      <c r="O80" s="13"/>
    </row>
    <row r="81" spans="2:15" s="8" customFormat="1" ht="34.9" hidden="1" customHeight="1">
      <c r="B81" s="14">
        <v>40179</v>
      </c>
      <c r="C81" s="6">
        <f>865.8</f>
        <v>865.8</v>
      </c>
      <c r="D81" s="6">
        <f>3018</f>
        <v>3018</v>
      </c>
      <c r="E81" s="6">
        <v>688.6</v>
      </c>
      <c r="F81" s="6">
        <v>92.4</v>
      </c>
      <c r="G81" s="6">
        <f>4240.9</f>
        <v>4240.8999999999996</v>
      </c>
      <c r="H81" s="6">
        <f>273.1</f>
        <v>273.10000000000002</v>
      </c>
      <c r="I81" s="6">
        <f>35165.1</f>
        <v>35165.1</v>
      </c>
      <c r="J81" s="6">
        <f>2755.3</f>
        <v>2755.3</v>
      </c>
      <c r="K81" s="6">
        <f>6072.1+744+544+587.1+565+565+690.2+678+650+650+680+520+540+545.9+501.5+501.8+590</f>
        <v>15624.6</v>
      </c>
      <c r="L81" s="6">
        <v>12881.2</v>
      </c>
      <c r="M81" s="6">
        <f>3016.1</f>
        <v>3016.1</v>
      </c>
      <c r="N81" s="7">
        <f t="shared" ref="N81:N92" si="3">SUM(C81:M81)</f>
        <v>78621.100000000006</v>
      </c>
      <c r="O81" s="7">
        <f>N81+'59a'!P82+'59a'!G82</f>
        <v>591669</v>
      </c>
    </row>
    <row r="82" spans="2:15" s="8" customFormat="1" ht="34.9" hidden="1" customHeight="1">
      <c r="B82" s="15">
        <v>40210</v>
      </c>
      <c r="C82" s="10">
        <v>1028.5999999999999</v>
      </c>
      <c r="D82" s="10">
        <v>1604.5</v>
      </c>
      <c r="E82" s="10">
        <v>193</v>
      </c>
      <c r="F82" s="10">
        <v>39</v>
      </c>
      <c r="G82" s="10">
        <v>4838.2</v>
      </c>
      <c r="H82" s="10">
        <v>441.9</v>
      </c>
      <c r="I82" s="10">
        <v>20419.8</v>
      </c>
      <c r="J82" s="10">
        <v>2483.1999999999998</v>
      </c>
      <c r="K82" s="10">
        <v>15382.1</v>
      </c>
      <c r="L82" s="10">
        <v>3868.7</v>
      </c>
      <c r="M82" s="10">
        <v>1096.3</v>
      </c>
      <c r="N82" s="11">
        <f t="shared" si="3"/>
        <v>51395.3</v>
      </c>
      <c r="O82" s="11">
        <f>N82+'59a'!P83+'59a'!G83</f>
        <v>492942.60000000003</v>
      </c>
    </row>
    <row r="83" spans="2:15" s="8" customFormat="1" ht="34.9" hidden="1" customHeight="1">
      <c r="B83" s="14">
        <v>40238</v>
      </c>
      <c r="C83" s="6">
        <f>1624.1+837+932.3+932.3</f>
        <v>4325.7</v>
      </c>
      <c r="D83" s="6">
        <f>4142.4</f>
        <v>4142.3999999999996</v>
      </c>
      <c r="E83" s="6">
        <f>995.7</f>
        <v>995.7</v>
      </c>
      <c r="F83" s="6">
        <v>152.1</v>
      </c>
      <c r="G83" s="6">
        <f>3384.4</f>
        <v>3384.4</v>
      </c>
      <c r="H83" s="6">
        <f>519.7</f>
        <v>519.70000000000005</v>
      </c>
      <c r="I83" s="6">
        <f>26474.8</f>
        <v>26474.799999999999</v>
      </c>
      <c r="J83" s="6">
        <f>4263.5</f>
        <v>4263.5</v>
      </c>
      <c r="K83" s="6">
        <f>57020.1</f>
        <v>57020.1</v>
      </c>
      <c r="L83" s="6">
        <f>4483.3</f>
        <v>4483.3</v>
      </c>
      <c r="M83" s="6">
        <f>3131.5</f>
        <v>3131.5</v>
      </c>
      <c r="N83" s="7">
        <f t="shared" si="3"/>
        <v>108893.2</v>
      </c>
      <c r="O83" s="7">
        <f>N83+'59a'!P84+'59a'!G84</f>
        <v>929482.79999999981</v>
      </c>
    </row>
    <row r="84" spans="2:15" s="8" customFormat="1" ht="34.9" hidden="1" customHeight="1">
      <c r="B84" s="15">
        <v>40269</v>
      </c>
      <c r="C84" s="10">
        <f>1873.9+1171.9</f>
        <v>3045.8</v>
      </c>
      <c r="D84" s="10">
        <f>3700.7</f>
        <v>3700.7</v>
      </c>
      <c r="E84" s="10">
        <f>5394.5+759.1</f>
        <v>6153.6</v>
      </c>
      <c r="F84" s="10">
        <f>61.2</f>
        <v>61.2</v>
      </c>
      <c r="G84" s="10">
        <f>1122.5</f>
        <v>1122.5</v>
      </c>
      <c r="H84" s="10">
        <f>1030.3+1418.1</f>
        <v>2448.3999999999996</v>
      </c>
      <c r="I84" s="10">
        <f>34086.1</f>
        <v>34086.1</v>
      </c>
      <c r="J84" s="10">
        <f>7190.2</f>
        <v>7190.2</v>
      </c>
      <c r="K84" s="10">
        <f>73421.8+742.3+1315.8+2479</f>
        <v>77958.900000000009</v>
      </c>
      <c r="L84" s="10">
        <f>8091.2</f>
        <v>8091.2</v>
      </c>
      <c r="M84" s="10">
        <f>2595.1</f>
        <v>2595.1</v>
      </c>
      <c r="N84" s="11">
        <f t="shared" si="3"/>
        <v>146453.70000000004</v>
      </c>
      <c r="O84" s="11">
        <f>N84+'59a'!P85+'59a'!G85</f>
        <v>1131227.5</v>
      </c>
    </row>
    <row r="85" spans="2:15" s="8" customFormat="1" ht="34.9" hidden="1" customHeight="1">
      <c r="B85" s="14">
        <v>40299</v>
      </c>
      <c r="C85" s="6">
        <v>1334.6</v>
      </c>
      <c r="D85" s="6">
        <v>1172.5999999999999</v>
      </c>
      <c r="E85" s="6">
        <v>15417.2</v>
      </c>
      <c r="F85" s="6">
        <v>22.5</v>
      </c>
      <c r="G85" s="6">
        <v>624.9</v>
      </c>
      <c r="H85" s="6">
        <v>566.9</v>
      </c>
      <c r="I85" s="6">
        <v>15471.6</v>
      </c>
      <c r="J85" s="6">
        <v>2440</v>
      </c>
      <c r="K85" s="6">
        <v>27691.599999999999</v>
      </c>
      <c r="L85" s="6">
        <v>4493.3999999999996</v>
      </c>
      <c r="M85" s="6">
        <v>616.4</v>
      </c>
      <c r="N85" s="7">
        <f t="shared" si="3"/>
        <v>69851.7</v>
      </c>
      <c r="O85" s="7">
        <f>N85+'59a'!P86+'59a'!G86</f>
        <v>586307.60000000009</v>
      </c>
    </row>
    <row r="86" spans="2:15" s="8" customFormat="1" ht="34.9" hidden="1" customHeight="1">
      <c r="B86" s="15">
        <v>40330</v>
      </c>
      <c r="C86" s="10">
        <v>537.92600000000004</v>
      </c>
      <c r="D86" s="10">
        <f>1605.4+1040+1924</f>
        <v>4569.3999999999996</v>
      </c>
      <c r="E86" s="10">
        <v>2517.4299999999998</v>
      </c>
      <c r="F86" s="10">
        <v>112.336</v>
      </c>
      <c r="G86" s="10">
        <v>196.3</v>
      </c>
      <c r="H86" s="10">
        <v>1755.433</v>
      </c>
      <c r="I86" s="10">
        <v>16816.507000000001</v>
      </c>
      <c r="J86" s="10">
        <v>1333.319</v>
      </c>
      <c r="K86" s="10">
        <f>13060.2+1323</f>
        <v>14383.2</v>
      </c>
      <c r="L86" s="10">
        <v>6201.4719999999998</v>
      </c>
      <c r="M86" s="10">
        <v>1648.1</v>
      </c>
      <c r="N86" s="11">
        <f t="shared" si="3"/>
        <v>50071.423000000003</v>
      </c>
      <c r="O86" s="11">
        <f>N86+'59a'!P87+'59a'!G87</f>
        <v>492673.34399999992</v>
      </c>
    </row>
    <row r="87" spans="2:15" s="8" customFormat="1" ht="34.9" hidden="1" customHeight="1">
      <c r="B87" s="14">
        <v>40360</v>
      </c>
      <c r="C87" s="6">
        <v>206</v>
      </c>
      <c r="D87" s="6">
        <v>2094.1</v>
      </c>
      <c r="E87" s="6">
        <v>1223.8</v>
      </c>
      <c r="F87" s="6">
        <v>20.867000000000001</v>
      </c>
      <c r="G87" s="6">
        <v>712.9</v>
      </c>
      <c r="H87" s="6">
        <v>686.65099999999995</v>
      </c>
      <c r="I87" s="6">
        <v>8278</v>
      </c>
      <c r="J87" s="6">
        <v>911.74400000000003</v>
      </c>
      <c r="K87" s="6">
        <v>10484.6</v>
      </c>
      <c r="L87" s="6">
        <v>9729.3549999999996</v>
      </c>
      <c r="M87" s="6">
        <v>2982.6</v>
      </c>
      <c r="N87" s="7">
        <f t="shared" si="3"/>
        <v>37330.616999999998</v>
      </c>
      <c r="O87" s="7">
        <f>N87+'59a'!P88+'59a'!G88</f>
        <v>432586.576</v>
      </c>
    </row>
    <row r="88" spans="2:15" s="8" customFormat="1" ht="34.9" hidden="1" customHeight="1">
      <c r="B88" s="15">
        <v>40391</v>
      </c>
      <c r="C88" s="10">
        <v>879.78899999999999</v>
      </c>
      <c r="D88" s="10">
        <v>3432.8</v>
      </c>
      <c r="E88" s="10">
        <v>1143.6099999999999</v>
      </c>
      <c r="F88" s="10">
        <v>5.3419999999999996</v>
      </c>
      <c r="G88" s="10">
        <v>564.9</v>
      </c>
      <c r="H88" s="10">
        <v>954.97400000000005</v>
      </c>
      <c r="I88" s="10">
        <v>6506.2870000000003</v>
      </c>
      <c r="J88" s="10">
        <v>717.34100000000001</v>
      </c>
      <c r="K88" s="10">
        <v>8882.5</v>
      </c>
      <c r="L88" s="10">
        <v>10003.299999999999</v>
      </c>
      <c r="M88" s="10">
        <v>9828.4</v>
      </c>
      <c r="N88" s="11">
        <f t="shared" si="3"/>
        <v>42919.242999999995</v>
      </c>
      <c r="O88" s="11">
        <f>N88+'59a'!P89+'59a'!G89</f>
        <v>446100.80999999994</v>
      </c>
    </row>
    <row r="89" spans="2:15" s="8" customFormat="1" ht="34.9" hidden="1" customHeight="1">
      <c r="B89" s="14">
        <v>40422</v>
      </c>
      <c r="C89" s="6">
        <v>263.7</v>
      </c>
      <c r="D89" s="6">
        <v>2874.1</v>
      </c>
      <c r="E89" s="6">
        <v>1113.3</v>
      </c>
      <c r="F89" s="6">
        <v>99.6</v>
      </c>
      <c r="G89" s="6">
        <v>4673.5</v>
      </c>
      <c r="H89" s="6">
        <v>922.7</v>
      </c>
      <c r="I89" s="6">
        <v>5513.6</v>
      </c>
      <c r="J89" s="6">
        <v>2293.6999999999998</v>
      </c>
      <c r="K89" s="6">
        <v>17485.400000000001</v>
      </c>
      <c r="L89" s="6">
        <v>10073.799999999999</v>
      </c>
      <c r="M89" s="6">
        <f>12924.1+574.7</f>
        <v>13498.800000000001</v>
      </c>
      <c r="N89" s="7">
        <f t="shared" si="3"/>
        <v>58812.200000000012</v>
      </c>
      <c r="O89" s="7">
        <f>N89+'59a'!P90+'59a'!G90</f>
        <v>559899.69999999995</v>
      </c>
    </row>
    <row r="90" spans="2:15" s="8" customFormat="1" ht="34.9" hidden="1" customHeight="1">
      <c r="B90" s="15">
        <v>40452</v>
      </c>
      <c r="C90" s="10">
        <v>741.5</v>
      </c>
      <c r="D90" s="10">
        <v>955.6</v>
      </c>
      <c r="E90" s="10">
        <v>477.1</v>
      </c>
      <c r="F90" s="10">
        <v>6.7</v>
      </c>
      <c r="G90" s="10">
        <v>3830.2</v>
      </c>
      <c r="H90" s="10">
        <v>2992.2</v>
      </c>
      <c r="I90" s="10">
        <v>10298.6</v>
      </c>
      <c r="J90" s="10">
        <v>622.4</v>
      </c>
      <c r="K90" s="10">
        <v>8007.4</v>
      </c>
      <c r="L90" s="10">
        <f>5874+628.1</f>
        <v>6502.1</v>
      </c>
      <c r="M90" s="10">
        <v>7749.4</v>
      </c>
      <c r="N90" s="11">
        <f t="shared" si="3"/>
        <v>42183.200000000004</v>
      </c>
      <c r="O90" s="11">
        <f>N90+'59a'!P91+'59a'!G91</f>
        <v>388730.1</v>
      </c>
    </row>
    <row r="91" spans="2:15" s="8" customFormat="1" ht="34.9" hidden="1" customHeight="1">
      <c r="B91" s="14">
        <v>40483</v>
      </c>
      <c r="C91" s="6">
        <v>580.29999999999995</v>
      </c>
      <c r="D91" s="6">
        <f>1186.1+1000+1000</f>
        <v>3186.1</v>
      </c>
      <c r="E91" s="6">
        <v>156.1</v>
      </c>
      <c r="F91" s="6">
        <v>17.8</v>
      </c>
      <c r="G91" s="6">
        <v>3792.3</v>
      </c>
      <c r="H91" s="6">
        <v>3459.7</v>
      </c>
      <c r="I91" s="6">
        <v>4856</v>
      </c>
      <c r="J91" s="6">
        <v>494.7</v>
      </c>
      <c r="K91" s="6">
        <v>10209.799999999999</v>
      </c>
      <c r="L91" s="6">
        <v>2454.5</v>
      </c>
      <c r="M91" s="6">
        <v>2264.1999999999998</v>
      </c>
      <c r="N91" s="7">
        <f t="shared" si="3"/>
        <v>31471.5</v>
      </c>
      <c r="O91" s="7">
        <f>N91+'59a'!P92+'59a'!G92</f>
        <v>284141.70000000007</v>
      </c>
    </row>
    <row r="92" spans="2:15" s="8" customFormat="1" ht="34.9" hidden="1" customHeight="1">
      <c r="B92" s="15">
        <v>40513</v>
      </c>
      <c r="C92" s="10">
        <v>845.3</v>
      </c>
      <c r="D92" s="10">
        <v>2391.5</v>
      </c>
      <c r="E92" s="10">
        <v>325.10000000000002</v>
      </c>
      <c r="F92" s="10">
        <v>47.1</v>
      </c>
      <c r="G92" s="10">
        <v>2499.8000000000002</v>
      </c>
      <c r="H92" s="10">
        <v>2862.3</v>
      </c>
      <c r="I92" s="10">
        <v>14568.2</v>
      </c>
      <c r="J92" s="10">
        <v>1287.8</v>
      </c>
      <c r="K92" s="10">
        <f>21927.8+2530</f>
        <v>24457.8</v>
      </c>
      <c r="L92" s="10">
        <v>1183.9000000000001</v>
      </c>
      <c r="M92" s="10">
        <v>2739</v>
      </c>
      <c r="N92" s="11">
        <f t="shared" si="3"/>
        <v>53207.8</v>
      </c>
      <c r="O92" s="11">
        <f>N92+'59a'!P93+'59a'!G93</f>
        <v>354225.4</v>
      </c>
    </row>
    <row r="93" spans="2:15" s="8" customFormat="1" ht="34.9" hidden="1" customHeight="1">
      <c r="B93" s="3">
        <v>2011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3"/>
      <c r="O93" s="13"/>
    </row>
    <row r="94" spans="2:15" s="8" customFormat="1" ht="34.9" hidden="1" customHeight="1">
      <c r="B94" s="14">
        <v>40544</v>
      </c>
      <c r="C94" s="6">
        <v>675.8</v>
      </c>
      <c r="D94" s="6">
        <v>896.6</v>
      </c>
      <c r="E94" s="6">
        <v>293.39999999999998</v>
      </c>
      <c r="F94" s="6">
        <v>62.6</v>
      </c>
      <c r="G94" s="6">
        <v>2707.5</v>
      </c>
      <c r="H94" s="6">
        <v>2201.1999999999998</v>
      </c>
      <c r="I94" s="6">
        <v>49787.5</v>
      </c>
      <c r="J94" s="6">
        <v>1293.2</v>
      </c>
      <c r="K94" s="6">
        <f>57910.5+590+520+510+510+1180</f>
        <v>61220.5</v>
      </c>
      <c r="L94" s="6">
        <v>1240.0999999999999</v>
      </c>
      <c r="M94" s="6">
        <v>769.9</v>
      </c>
      <c r="N94" s="7">
        <f t="shared" ref="N94:N105" si="4">SUM(C94:M94)</f>
        <v>121148.29999999999</v>
      </c>
      <c r="O94" s="7">
        <f>N94+'59a'!P95+'59a'!G95</f>
        <v>405481.69999999995</v>
      </c>
    </row>
    <row r="95" spans="2:15" s="8" customFormat="1" ht="34.9" hidden="1" customHeight="1">
      <c r="B95" s="15">
        <v>40575</v>
      </c>
      <c r="C95" s="10">
        <v>580.70000000000005</v>
      </c>
      <c r="D95" s="10">
        <v>830.3</v>
      </c>
      <c r="E95" s="10">
        <v>191.2</v>
      </c>
      <c r="F95" s="10">
        <v>8.6</v>
      </c>
      <c r="G95" s="10">
        <v>943.9</v>
      </c>
      <c r="H95" s="10">
        <v>4170.7</v>
      </c>
      <c r="I95" s="10">
        <v>8442.4</v>
      </c>
      <c r="J95" s="10">
        <v>1328</v>
      </c>
      <c r="K95" s="10">
        <f>29190.7+860+1969+561.8</f>
        <v>32581.5</v>
      </c>
      <c r="L95" s="10">
        <v>1540.9</v>
      </c>
      <c r="M95" s="10">
        <v>250.7</v>
      </c>
      <c r="N95" s="11">
        <f t="shared" si="4"/>
        <v>50868.9</v>
      </c>
      <c r="O95" s="11">
        <f>N95+'59a'!P96+'59a'!G96</f>
        <v>216548.59999999998</v>
      </c>
    </row>
    <row r="96" spans="2:15" s="8" customFormat="1" ht="34.9" hidden="1" customHeight="1">
      <c r="B96" s="14">
        <v>40603</v>
      </c>
      <c r="C96" s="6">
        <v>859.1</v>
      </c>
      <c r="D96" s="6">
        <f>1839.5+640</f>
        <v>2479.5</v>
      </c>
      <c r="E96" s="6">
        <v>162.9</v>
      </c>
      <c r="F96" s="6">
        <v>53.6</v>
      </c>
      <c r="G96" s="6">
        <v>369.3</v>
      </c>
      <c r="H96" s="6">
        <f>13353.6+1522.2+601.9</f>
        <v>15477.7</v>
      </c>
      <c r="I96" s="6">
        <v>11971.4</v>
      </c>
      <c r="J96" s="6">
        <v>416.1</v>
      </c>
      <c r="K96" s="6">
        <f>25300.9+1772.6+1376+540+815.4+2090</f>
        <v>31894.9</v>
      </c>
      <c r="L96" s="6">
        <v>1129.0999999999999</v>
      </c>
      <c r="M96" s="6">
        <v>341.1</v>
      </c>
      <c r="N96" s="7">
        <f t="shared" si="4"/>
        <v>65154.7</v>
      </c>
      <c r="O96" s="7">
        <f>N96+'59a'!P97+'59a'!G97</f>
        <v>289719</v>
      </c>
    </row>
    <row r="97" spans="2:15" s="8" customFormat="1" ht="34.9" hidden="1" customHeight="1">
      <c r="B97" s="15">
        <v>40634</v>
      </c>
      <c r="C97" s="10">
        <v>379.5</v>
      </c>
      <c r="D97" s="10">
        <v>2781.7</v>
      </c>
      <c r="E97" s="10">
        <v>306.10000000000002</v>
      </c>
      <c r="F97" s="10">
        <v>1.1000000000000001</v>
      </c>
      <c r="G97" s="10">
        <v>3298.6</v>
      </c>
      <c r="H97" s="10">
        <v>505.6</v>
      </c>
      <c r="I97" s="10">
        <v>8993.5</v>
      </c>
      <c r="J97" s="10">
        <v>1173</v>
      </c>
      <c r="K97" s="10">
        <v>20055.8</v>
      </c>
      <c r="L97" s="10">
        <v>1487.3</v>
      </c>
      <c r="M97" s="10">
        <v>305.5</v>
      </c>
      <c r="N97" s="11">
        <f t="shared" si="4"/>
        <v>39287.699999999997</v>
      </c>
      <c r="O97" s="11">
        <f>N97+'59a'!P98+'59a'!G98</f>
        <v>264597.59999999998</v>
      </c>
    </row>
    <row r="98" spans="2:15" s="8" customFormat="1" ht="34.9" hidden="1" customHeight="1">
      <c r="B98" s="14">
        <v>40664</v>
      </c>
      <c r="C98" s="6">
        <v>440.3</v>
      </c>
      <c r="D98" s="6">
        <v>2760.1</v>
      </c>
      <c r="E98" s="6">
        <v>596.1</v>
      </c>
      <c r="F98" s="6">
        <v>195.8</v>
      </c>
      <c r="G98" s="6">
        <v>983.5</v>
      </c>
      <c r="H98" s="6">
        <v>659.1</v>
      </c>
      <c r="I98" s="6">
        <v>11632.9</v>
      </c>
      <c r="J98" s="6">
        <v>4606.8999999999996</v>
      </c>
      <c r="K98" s="6">
        <v>16500.8</v>
      </c>
      <c r="L98" s="6">
        <v>2501.8000000000002</v>
      </c>
      <c r="M98" s="6">
        <v>975.9</v>
      </c>
      <c r="N98" s="7">
        <f t="shared" si="4"/>
        <v>41853.200000000004</v>
      </c>
      <c r="O98" s="7">
        <f>N98+'59a'!P99+'59a'!G99</f>
        <v>313638</v>
      </c>
    </row>
    <row r="99" spans="2:15" s="8" customFormat="1" ht="34.9" hidden="1" customHeight="1">
      <c r="B99" s="15">
        <v>40695</v>
      </c>
      <c r="C99" s="10">
        <v>554.6</v>
      </c>
      <c r="D99" s="10">
        <v>1979.5</v>
      </c>
      <c r="E99" s="10">
        <v>160.69999999999999</v>
      </c>
      <c r="F99" s="10">
        <v>1129.7</v>
      </c>
      <c r="G99" s="10">
        <v>149.30000000000001</v>
      </c>
      <c r="H99" s="10">
        <v>701</v>
      </c>
      <c r="I99" s="10">
        <v>8988.2999999999993</v>
      </c>
      <c r="J99" s="10">
        <v>6589.2</v>
      </c>
      <c r="K99" s="10">
        <v>10196.6</v>
      </c>
      <c r="L99" s="10">
        <v>7013.6</v>
      </c>
      <c r="M99" s="10">
        <v>188.2</v>
      </c>
      <c r="N99" s="11">
        <f t="shared" si="4"/>
        <v>37650.699999999997</v>
      </c>
      <c r="O99" s="11">
        <f>N99+'59a'!P100+'59a'!G100</f>
        <v>248504.3</v>
      </c>
    </row>
    <row r="100" spans="2:15" s="8" customFormat="1" ht="34.9" hidden="1" customHeight="1">
      <c r="B100" s="14">
        <v>40725</v>
      </c>
      <c r="C100" s="6">
        <v>379.4</v>
      </c>
      <c r="D100" s="6">
        <v>2852.8</v>
      </c>
      <c r="E100" s="6">
        <v>120.9</v>
      </c>
      <c r="F100" s="6">
        <v>15</v>
      </c>
      <c r="G100" s="6">
        <v>106.1</v>
      </c>
      <c r="H100" s="6">
        <v>1933.2</v>
      </c>
      <c r="I100" s="6">
        <v>18521.5</v>
      </c>
      <c r="J100" s="6">
        <v>8718.9</v>
      </c>
      <c r="K100" s="6">
        <v>5695.7</v>
      </c>
      <c r="L100" s="6">
        <v>1377.1</v>
      </c>
      <c r="M100" s="6">
        <v>257.5</v>
      </c>
      <c r="N100" s="7">
        <f t="shared" si="4"/>
        <v>39978.1</v>
      </c>
      <c r="O100" s="7">
        <f>N100+'59a'!P101+'59a'!G101</f>
        <v>235506.1</v>
      </c>
    </row>
    <row r="101" spans="2:15" s="8" customFormat="1" ht="34.9" hidden="1" customHeight="1">
      <c r="B101" s="15">
        <v>40756</v>
      </c>
      <c r="C101" s="10">
        <v>264.10000000000002</v>
      </c>
      <c r="D101" s="10">
        <v>1466.1</v>
      </c>
      <c r="E101" s="10">
        <v>37</v>
      </c>
      <c r="F101" s="10">
        <v>34.9</v>
      </c>
      <c r="G101" s="10">
        <v>58.6</v>
      </c>
      <c r="H101" s="10">
        <v>820</v>
      </c>
      <c r="I101" s="10">
        <v>10253</v>
      </c>
      <c r="J101" s="10">
        <v>4796.8</v>
      </c>
      <c r="K101" s="10">
        <v>8392.5</v>
      </c>
      <c r="L101" s="10">
        <v>773.7</v>
      </c>
      <c r="M101" s="10">
        <v>273.3</v>
      </c>
      <c r="N101" s="11">
        <f t="shared" si="4"/>
        <v>27170</v>
      </c>
      <c r="O101" s="11">
        <f>N101+'59a'!P102+'59a'!G102</f>
        <v>176135.30000000002</v>
      </c>
    </row>
    <row r="102" spans="2:15" s="8" customFormat="1" ht="34.9" hidden="1" customHeight="1">
      <c r="B102" s="14">
        <v>40787</v>
      </c>
      <c r="C102" s="6">
        <v>263.7</v>
      </c>
      <c r="D102" s="6">
        <v>978</v>
      </c>
      <c r="E102" s="6">
        <v>302.5</v>
      </c>
      <c r="F102" s="6">
        <v>40.5</v>
      </c>
      <c r="G102" s="6">
        <v>146.80000000000001</v>
      </c>
      <c r="H102" s="6">
        <v>1088.5</v>
      </c>
      <c r="I102" s="6">
        <v>4265.7</v>
      </c>
      <c r="J102" s="6">
        <v>2884.7</v>
      </c>
      <c r="K102" s="6">
        <v>9441.2000000000007</v>
      </c>
      <c r="L102" s="6">
        <v>886.2</v>
      </c>
      <c r="M102" s="6">
        <v>1046.8</v>
      </c>
      <c r="N102" s="7">
        <f t="shared" si="4"/>
        <v>21344.6</v>
      </c>
      <c r="O102" s="7">
        <f>N102+'59a'!P103+'59a'!G103</f>
        <v>198253.5</v>
      </c>
    </row>
    <row r="103" spans="2:15" s="8" customFormat="1" ht="34.9" hidden="1" customHeight="1">
      <c r="B103" s="15">
        <v>40817</v>
      </c>
      <c r="C103" s="10">
        <v>278.10000000000002</v>
      </c>
      <c r="D103" s="10">
        <v>508.3</v>
      </c>
      <c r="E103" s="10">
        <v>153.5</v>
      </c>
      <c r="F103" s="10">
        <v>25.4</v>
      </c>
      <c r="G103" s="10">
        <v>97.8</v>
      </c>
      <c r="H103" s="10">
        <v>293</v>
      </c>
      <c r="I103" s="10">
        <v>12713.2</v>
      </c>
      <c r="J103" s="10">
        <v>3184.5</v>
      </c>
      <c r="K103" s="10">
        <v>2665.5</v>
      </c>
      <c r="L103" s="10">
        <v>228.2</v>
      </c>
      <c r="M103" s="10">
        <v>1245.4000000000001</v>
      </c>
      <c r="N103" s="11">
        <f t="shared" si="4"/>
        <v>21392.900000000005</v>
      </c>
      <c r="O103" s="11">
        <f>N103+'59a'!P104+'59a'!G104</f>
        <v>181580.2</v>
      </c>
    </row>
    <row r="104" spans="2:15" s="8" customFormat="1" ht="34.9" hidden="1" customHeight="1">
      <c r="B104" s="14">
        <v>40848</v>
      </c>
      <c r="C104" s="6">
        <v>523.6</v>
      </c>
      <c r="D104" s="6">
        <v>830.5</v>
      </c>
      <c r="E104" s="6">
        <v>119.4</v>
      </c>
      <c r="F104" s="6">
        <v>56.8</v>
      </c>
      <c r="G104" s="6">
        <v>135.69999999999999</v>
      </c>
      <c r="H104" s="6">
        <v>433.3</v>
      </c>
      <c r="I104" s="6">
        <v>10743.9</v>
      </c>
      <c r="J104" s="6">
        <v>2792.7</v>
      </c>
      <c r="K104" s="6">
        <v>2290.1999999999998</v>
      </c>
      <c r="L104" s="6">
        <v>403.7</v>
      </c>
      <c r="M104" s="6">
        <v>202.7</v>
      </c>
      <c r="N104" s="7">
        <f t="shared" si="4"/>
        <v>18532.500000000004</v>
      </c>
      <c r="O104" s="7">
        <f>N104+'59a'!P105+'59a'!G105</f>
        <v>139138.1</v>
      </c>
    </row>
    <row r="105" spans="2:15" s="8" customFormat="1" ht="34.9" hidden="1" customHeight="1">
      <c r="B105" s="15">
        <v>40878</v>
      </c>
      <c r="C105" s="10">
        <v>591.1</v>
      </c>
      <c r="D105" s="10">
        <v>1320.7</v>
      </c>
      <c r="E105" s="10">
        <v>84.4</v>
      </c>
      <c r="F105" s="10">
        <v>4.9000000000000004</v>
      </c>
      <c r="G105" s="10">
        <v>202.1</v>
      </c>
      <c r="H105" s="10">
        <v>1962.4</v>
      </c>
      <c r="I105" s="10">
        <v>21547.5</v>
      </c>
      <c r="J105" s="10">
        <v>2295.4</v>
      </c>
      <c r="K105" s="10">
        <v>1642.3</v>
      </c>
      <c r="L105" s="10">
        <v>662.4</v>
      </c>
      <c r="M105" s="10">
        <v>2198.9</v>
      </c>
      <c r="N105" s="11">
        <f t="shared" si="4"/>
        <v>32512.100000000002</v>
      </c>
      <c r="O105" s="11">
        <f>N105+'59a'!P106+'59a'!G106</f>
        <v>181144.3</v>
      </c>
    </row>
    <row r="106" spans="2:15" s="8" customFormat="1" ht="34.9" hidden="1" customHeight="1">
      <c r="B106" s="3">
        <v>2012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3"/>
      <c r="O106" s="13"/>
    </row>
    <row r="107" spans="2:15" s="8" customFormat="1" ht="34.9" hidden="1" customHeight="1">
      <c r="B107" s="14">
        <v>40909</v>
      </c>
      <c r="C107" s="6">
        <v>146.19999999999999</v>
      </c>
      <c r="D107" s="6">
        <v>1229.3</v>
      </c>
      <c r="E107" s="6">
        <v>23.7</v>
      </c>
      <c r="F107" s="6">
        <v>278.10000000000002</v>
      </c>
      <c r="G107" s="6">
        <v>144.19999999999999</v>
      </c>
      <c r="H107" s="6">
        <v>1186.2</v>
      </c>
      <c r="I107" s="6">
        <v>7244</v>
      </c>
      <c r="J107" s="6">
        <v>3370.5</v>
      </c>
      <c r="K107" s="6">
        <v>1717.3</v>
      </c>
      <c r="L107" s="6">
        <v>1244.3</v>
      </c>
      <c r="M107" s="6">
        <v>3914</v>
      </c>
      <c r="N107" s="7">
        <f t="shared" ref="N107:N118" si="5">SUM(C107:M107)</f>
        <v>20497.8</v>
      </c>
      <c r="O107" s="7">
        <f>N107+'59a'!P108+'59a'!G108</f>
        <v>157576.5</v>
      </c>
    </row>
    <row r="108" spans="2:15" s="8" customFormat="1" ht="34.9" hidden="1" customHeight="1">
      <c r="B108" s="15">
        <v>40940</v>
      </c>
      <c r="C108" s="10">
        <v>463.7</v>
      </c>
      <c r="D108" s="10">
        <v>853.5</v>
      </c>
      <c r="E108" s="10">
        <v>2</v>
      </c>
      <c r="F108" s="10">
        <v>677.6</v>
      </c>
      <c r="G108" s="10">
        <v>183.1</v>
      </c>
      <c r="H108" s="10">
        <v>21674.6</v>
      </c>
      <c r="I108" s="10">
        <v>6957.3</v>
      </c>
      <c r="J108" s="10">
        <v>10014</v>
      </c>
      <c r="K108" s="10">
        <f>2816.7+509.5</f>
        <v>3326.2</v>
      </c>
      <c r="L108" s="10">
        <v>532.29999999999995</v>
      </c>
      <c r="M108" s="10">
        <v>5045.8999999999996</v>
      </c>
      <c r="N108" s="11">
        <f t="shared" si="5"/>
        <v>49730.200000000004</v>
      </c>
      <c r="O108" s="11">
        <f>N108+'59a'!P109+'59a'!G109</f>
        <v>198840.2</v>
      </c>
    </row>
    <row r="109" spans="2:15" s="8" customFormat="1" ht="34.9" hidden="1" customHeight="1">
      <c r="B109" s="14">
        <v>40969</v>
      </c>
      <c r="C109" s="6">
        <v>501</v>
      </c>
      <c r="D109" s="6">
        <v>1063.5999999999999</v>
      </c>
      <c r="E109" s="6">
        <v>353.9</v>
      </c>
      <c r="F109" s="6">
        <v>1660.1</v>
      </c>
      <c r="G109" s="6">
        <v>36.6</v>
      </c>
      <c r="H109" s="6">
        <v>7426.8</v>
      </c>
      <c r="I109" s="6">
        <v>11340.2</v>
      </c>
      <c r="J109" s="6">
        <v>10786.4</v>
      </c>
      <c r="K109" s="6">
        <v>1182.8</v>
      </c>
      <c r="L109" s="6">
        <v>1336.5</v>
      </c>
      <c r="M109" s="6">
        <v>13326.9</v>
      </c>
      <c r="N109" s="7">
        <f t="shared" si="5"/>
        <v>49014.8</v>
      </c>
      <c r="O109" s="7">
        <f>N109+'59a'!P110+'59a'!G110</f>
        <v>226744.5</v>
      </c>
    </row>
    <row r="110" spans="2:15" s="8" customFormat="1" ht="34.9" hidden="1" customHeight="1">
      <c r="B110" s="15">
        <v>41000</v>
      </c>
      <c r="C110" s="10">
        <v>1010</v>
      </c>
      <c r="D110" s="10">
        <v>2941.7</v>
      </c>
      <c r="E110" s="10">
        <v>418.6</v>
      </c>
      <c r="F110" s="10">
        <v>122.5</v>
      </c>
      <c r="G110" s="10">
        <v>94.7</v>
      </c>
      <c r="H110" s="10">
        <v>4090.5</v>
      </c>
      <c r="I110" s="10">
        <v>11995</v>
      </c>
      <c r="J110" s="10">
        <v>11350.6</v>
      </c>
      <c r="K110" s="10">
        <v>805.6</v>
      </c>
      <c r="L110" s="10">
        <v>1158.0999999999999</v>
      </c>
      <c r="M110" s="10">
        <v>7265.7</v>
      </c>
      <c r="N110" s="11">
        <f t="shared" si="5"/>
        <v>41252.999999999993</v>
      </c>
      <c r="O110" s="11">
        <f>N110+'59a'!P111+'59a'!G111</f>
        <v>232591</v>
      </c>
    </row>
    <row r="111" spans="2:15" s="8" customFormat="1" ht="34.9" hidden="1" customHeight="1">
      <c r="B111" s="14">
        <v>41030</v>
      </c>
      <c r="C111" s="6">
        <v>826</v>
      </c>
      <c r="D111" s="6">
        <v>4800.6000000000004</v>
      </c>
      <c r="E111" s="6">
        <v>420.4</v>
      </c>
      <c r="F111" s="6">
        <v>30.8</v>
      </c>
      <c r="G111" s="6">
        <v>153.6</v>
      </c>
      <c r="H111" s="6">
        <v>3597.9</v>
      </c>
      <c r="I111" s="6">
        <v>11895.5</v>
      </c>
      <c r="J111" s="6">
        <v>5312</v>
      </c>
      <c r="K111" s="6">
        <v>637.9</v>
      </c>
      <c r="L111" s="6">
        <v>1639.6</v>
      </c>
      <c r="M111" s="6">
        <v>1583.1</v>
      </c>
      <c r="N111" s="7">
        <f t="shared" si="5"/>
        <v>30897.4</v>
      </c>
      <c r="O111" s="7">
        <f>N111+'59a'!P112+'59a'!G112</f>
        <v>147462.1</v>
      </c>
    </row>
    <row r="112" spans="2:15" s="8" customFormat="1" ht="34.9" hidden="1" customHeight="1">
      <c r="B112" s="15">
        <v>41061</v>
      </c>
      <c r="C112" s="10">
        <v>153.4</v>
      </c>
      <c r="D112" s="10">
        <v>1382.9</v>
      </c>
      <c r="E112" s="10">
        <v>80.7</v>
      </c>
      <c r="F112" s="10">
        <v>551.20000000000005</v>
      </c>
      <c r="G112" s="10">
        <v>64.599999999999994</v>
      </c>
      <c r="H112" s="10">
        <v>4014.2</v>
      </c>
      <c r="I112" s="10">
        <v>4172.8</v>
      </c>
      <c r="J112" s="10">
        <v>4719.3999999999996</v>
      </c>
      <c r="K112" s="10">
        <v>499.3</v>
      </c>
      <c r="L112" s="10">
        <v>1748.9</v>
      </c>
      <c r="M112" s="10">
        <v>2241.9</v>
      </c>
      <c r="N112" s="11">
        <f t="shared" si="5"/>
        <v>19629.3</v>
      </c>
      <c r="O112" s="11">
        <f>N112+'59a'!P113+'59a'!G113</f>
        <v>131673.29999999999</v>
      </c>
    </row>
    <row r="113" spans="2:15" s="8" customFormat="1" ht="34.9" hidden="1" customHeight="1">
      <c r="B113" s="14">
        <v>41091</v>
      </c>
      <c r="C113" s="6">
        <v>367.8</v>
      </c>
      <c r="D113" s="6">
        <f>1047.7+2000</f>
        <v>3047.7</v>
      </c>
      <c r="E113" s="6">
        <v>85.6</v>
      </c>
      <c r="F113" s="6">
        <v>63.5</v>
      </c>
      <c r="G113" s="6">
        <v>125.7</v>
      </c>
      <c r="H113" s="6">
        <v>7120</v>
      </c>
      <c r="I113" s="6">
        <v>2745</v>
      </c>
      <c r="J113" s="6">
        <v>5928.5</v>
      </c>
      <c r="K113" s="6">
        <v>764.1</v>
      </c>
      <c r="L113" s="6">
        <v>1916.4</v>
      </c>
      <c r="M113" s="6">
        <v>7398.8</v>
      </c>
      <c r="N113" s="7">
        <f t="shared" si="5"/>
        <v>29563.1</v>
      </c>
      <c r="O113" s="7">
        <f>N113+'59a'!P114+'59a'!G114</f>
        <v>137287.09999999998</v>
      </c>
    </row>
    <row r="114" spans="2:15" s="8" customFormat="1" ht="34.9" hidden="1" customHeight="1">
      <c r="B114" s="15">
        <v>41122</v>
      </c>
      <c r="C114" s="10">
        <v>82.4</v>
      </c>
      <c r="D114" s="10">
        <v>629.65989999999999</v>
      </c>
      <c r="E114" s="10">
        <v>122.5</v>
      </c>
      <c r="F114" s="10">
        <v>25.9</v>
      </c>
      <c r="G114" s="10">
        <v>42.2</v>
      </c>
      <c r="H114" s="10">
        <v>1752</v>
      </c>
      <c r="I114" s="10">
        <v>3197.2</v>
      </c>
      <c r="J114" s="10">
        <v>2244.1</v>
      </c>
      <c r="K114" s="10">
        <v>152.1</v>
      </c>
      <c r="L114" s="10">
        <v>1956</v>
      </c>
      <c r="M114" s="10">
        <v>2369.6</v>
      </c>
      <c r="N114" s="11">
        <f t="shared" si="5"/>
        <v>12573.659900000001</v>
      </c>
      <c r="O114" s="11">
        <f>N114+'59a'!P115+'59a'!G115</f>
        <v>105203.6599</v>
      </c>
    </row>
    <row r="115" spans="2:15" s="8" customFormat="1" ht="34.9" hidden="1" customHeight="1">
      <c r="B115" s="14">
        <v>41153</v>
      </c>
      <c r="C115" s="6">
        <v>249.4</v>
      </c>
      <c r="D115" s="6">
        <v>639.9</v>
      </c>
      <c r="E115" s="6">
        <v>654.6</v>
      </c>
      <c r="F115" s="6">
        <v>0</v>
      </c>
      <c r="G115" s="6">
        <v>129.69999999999999</v>
      </c>
      <c r="H115" s="6">
        <v>1502.1</v>
      </c>
      <c r="I115" s="6">
        <v>10805.1</v>
      </c>
      <c r="J115" s="6">
        <v>3429</v>
      </c>
      <c r="K115" s="6">
        <v>1165.4000000000001</v>
      </c>
      <c r="L115" s="6">
        <v>3807</v>
      </c>
      <c r="M115" s="6">
        <v>1631.9</v>
      </c>
      <c r="N115" s="7">
        <f t="shared" si="5"/>
        <v>24014.100000000002</v>
      </c>
      <c r="O115" s="7">
        <f>N115+'59a'!P116+'59a'!G116</f>
        <v>139542</v>
      </c>
    </row>
    <row r="116" spans="2:15" s="8" customFormat="1" ht="34.9" hidden="1" customHeight="1">
      <c r="B116" s="15">
        <v>41183</v>
      </c>
      <c r="C116" s="10">
        <v>89.3</v>
      </c>
      <c r="D116" s="10">
        <v>498.8</v>
      </c>
      <c r="E116" s="10">
        <v>118.9</v>
      </c>
      <c r="F116" s="10">
        <v>1.9</v>
      </c>
      <c r="G116" s="10">
        <v>297.39999999999998</v>
      </c>
      <c r="H116" s="10">
        <v>4145.5</v>
      </c>
      <c r="I116" s="10">
        <v>3889.4</v>
      </c>
      <c r="J116" s="10">
        <v>2728</v>
      </c>
      <c r="K116" s="10">
        <v>545.29999999999995</v>
      </c>
      <c r="L116" s="10">
        <v>5098.7</v>
      </c>
      <c r="M116" s="10">
        <v>2132.6999999999998</v>
      </c>
      <c r="N116" s="11">
        <f t="shared" si="5"/>
        <v>19545.900000000001</v>
      </c>
      <c r="O116" s="11">
        <f>N116+'59a'!P117+'59a'!G117</f>
        <v>155015.80000000002</v>
      </c>
    </row>
    <row r="117" spans="2:15" s="8" customFormat="1" ht="34.9" hidden="1" customHeight="1">
      <c r="B117" s="14">
        <v>41214</v>
      </c>
      <c r="C117" s="6">
        <v>526</v>
      </c>
      <c r="D117" s="6">
        <v>1249.0999999999999</v>
      </c>
      <c r="E117" s="6">
        <v>27.4</v>
      </c>
      <c r="F117" s="6">
        <v>1554.8</v>
      </c>
      <c r="G117" s="6">
        <v>164.6</v>
      </c>
      <c r="H117" s="6">
        <v>2406.6999999999998</v>
      </c>
      <c r="I117" s="6">
        <v>10742.8</v>
      </c>
      <c r="J117" s="6">
        <v>2676</v>
      </c>
      <c r="K117" s="6">
        <v>2447.5</v>
      </c>
      <c r="L117" s="6">
        <v>4729.5</v>
      </c>
      <c r="M117" s="6">
        <v>5534.8</v>
      </c>
      <c r="N117" s="7">
        <f t="shared" si="5"/>
        <v>32059.200000000001</v>
      </c>
      <c r="O117" s="7">
        <f>N117+'59a'!P118+'59a'!G118</f>
        <v>149229.4</v>
      </c>
    </row>
    <row r="118" spans="2:15" s="8" customFormat="1" ht="34.9" hidden="1" customHeight="1">
      <c r="B118" s="15">
        <v>41244</v>
      </c>
      <c r="C118" s="10">
        <v>353.55700000000002</v>
      </c>
      <c r="D118" s="10">
        <v>1868.1369999999999</v>
      </c>
      <c r="E118" s="10">
        <v>128.11799999999999</v>
      </c>
      <c r="F118" s="10">
        <v>211.97300000000001</v>
      </c>
      <c r="G118" s="10">
        <v>151.63399999999999</v>
      </c>
      <c r="H118" s="10">
        <v>19808.819</v>
      </c>
      <c r="I118" s="10">
        <v>5352.9120000000003</v>
      </c>
      <c r="J118" s="10">
        <v>13346.8</v>
      </c>
      <c r="K118" s="10">
        <v>9493.1460000000006</v>
      </c>
      <c r="L118" s="10">
        <v>2020.979</v>
      </c>
      <c r="M118" s="10">
        <v>3862.6080000000002</v>
      </c>
      <c r="N118" s="11">
        <f t="shared" si="5"/>
        <v>56598.682999999997</v>
      </c>
      <c r="O118" s="11">
        <f>N118+'59a'!P119+'59a'!G119</f>
        <v>197584.48300000001</v>
      </c>
    </row>
    <row r="119" spans="2:15" s="8" customFormat="1" ht="34.9" hidden="1" customHeight="1">
      <c r="B119" s="3">
        <v>2013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3"/>
      <c r="O119" s="13"/>
    </row>
    <row r="120" spans="2:15" s="8" customFormat="1" ht="34.9" hidden="1" customHeight="1">
      <c r="B120" s="14">
        <v>41275</v>
      </c>
      <c r="C120" s="6">
        <v>184.3</v>
      </c>
      <c r="D120" s="6">
        <v>986.1</v>
      </c>
      <c r="E120" s="6">
        <v>33.1</v>
      </c>
      <c r="F120" s="6">
        <v>886.4</v>
      </c>
      <c r="G120" s="6">
        <v>83</v>
      </c>
      <c r="H120" s="6">
        <v>2621.3000000000002</v>
      </c>
      <c r="I120" s="6">
        <v>12820.2</v>
      </c>
      <c r="J120" s="6">
        <v>3963.6</v>
      </c>
      <c r="K120" s="6">
        <v>10476.200000000001</v>
      </c>
      <c r="L120" s="6">
        <v>1523.8</v>
      </c>
      <c r="M120" s="6">
        <v>1836.7</v>
      </c>
      <c r="N120" s="7">
        <f t="shared" ref="N120:N126" si="6">SUM(C120:M120)</f>
        <v>35414.699999999997</v>
      </c>
      <c r="O120" s="7">
        <f>N120+'59a'!P121+'59a'!G121</f>
        <v>204593.9</v>
      </c>
    </row>
    <row r="121" spans="2:15" s="8" customFormat="1" ht="34.9" hidden="1" customHeight="1">
      <c r="B121" s="15">
        <v>41306</v>
      </c>
      <c r="C121" s="10">
        <v>345.5</v>
      </c>
      <c r="D121" s="10">
        <v>3449.5</v>
      </c>
      <c r="E121" s="10">
        <v>40.9</v>
      </c>
      <c r="F121" s="10">
        <v>606.20000000000005</v>
      </c>
      <c r="G121" s="10">
        <f>155.3+3688.7</f>
        <v>3844</v>
      </c>
      <c r="H121" s="10">
        <v>3867.2</v>
      </c>
      <c r="I121" s="10">
        <v>7265.6</v>
      </c>
      <c r="J121" s="10">
        <v>5000</v>
      </c>
      <c r="K121" s="10">
        <v>12720.4</v>
      </c>
      <c r="L121" s="10">
        <v>2306</v>
      </c>
      <c r="M121" s="10">
        <v>2905.8</v>
      </c>
      <c r="N121" s="11">
        <f t="shared" si="6"/>
        <v>42351.100000000006</v>
      </c>
      <c r="O121" s="11">
        <f>N121+'59a'!P122+'59a'!G122</f>
        <v>213895.10000000003</v>
      </c>
    </row>
    <row r="122" spans="2:15" s="8" customFormat="1" ht="34.9" hidden="1" customHeight="1">
      <c r="B122" s="14">
        <v>41334</v>
      </c>
      <c r="C122" s="6">
        <v>2698.9</v>
      </c>
      <c r="D122" s="6">
        <v>2393.1999999999998</v>
      </c>
      <c r="E122" s="6">
        <v>165.3</v>
      </c>
      <c r="F122" s="6">
        <v>23.4</v>
      </c>
      <c r="G122" s="6">
        <v>104.4</v>
      </c>
      <c r="H122" s="6">
        <v>4858.1000000000004</v>
      </c>
      <c r="I122" s="6">
        <v>8782.4</v>
      </c>
      <c r="J122" s="6">
        <v>6341.6</v>
      </c>
      <c r="K122" s="6">
        <v>7515.6</v>
      </c>
      <c r="L122" s="6">
        <v>2124.6</v>
      </c>
      <c r="M122" s="6">
        <v>9917</v>
      </c>
      <c r="N122" s="7">
        <f t="shared" si="6"/>
        <v>44924.499999999993</v>
      </c>
      <c r="O122" s="7">
        <f>N122+'59a'!P123+'59a'!G123</f>
        <v>405186.89999999997</v>
      </c>
    </row>
    <row r="123" spans="2:15" s="8" customFormat="1" ht="34.9" hidden="1" customHeight="1">
      <c r="B123" s="15">
        <v>41365</v>
      </c>
      <c r="C123" s="10">
        <v>651.79999999999995</v>
      </c>
      <c r="D123" s="10">
        <v>1681.9</v>
      </c>
      <c r="E123" s="10">
        <v>405.8</v>
      </c>
      <c r="F123" s="10">
        <v>0</v>
      </c>
      <c r="G123" s="10">
        <v>100.6</v>
      </c>
      <c r="H123" s="10">
        <v>3539.4</v>
      </c>
      <c r="I123" s="10">
        <v>11731.2</v>
      </c>
      <c r="J123" s="10">
        <v>4415.8</v>
      </c>
      <c r="K123" s="10">
        <v>3852.4</v>
      </c>
      <c r="L123" s="10">
        <v>1825.6</v>
      </c>
      <c r="M123" s="10">
        <v>12746</v>
      </c>
      <c r="N123" s="11">
        <f t="shared" si="6"/>
        <v>40950.5</v>
      </c>
      <c r="O123" s="11">
        <f>N123+'59a'!P124+'59a'!G124</f>
        <v>848595.6</v>
      </c>
    </row>
    <row r="124" spans="2:15" s="8" customFormat="1" ht="34.9" hidden="1" customHeight="1">
      <c r="B124" s="14">
        <v>41395</v>
      </c>
      <c r="C124" s="6">
        <v>257.2</v>
      </c>
      <c r="D124" s="6">
        <v>1219.5</v>
      </c>
      <c r="E124" s="6">
        <v>955.6</v>
      </c>
      <c r="F124" s="6">
        <v>19.2</v>
      </c>
      <c r="G124" s="6">
        <v>203.1</v>
      </c>
      <c r="H124" s="6">
        <v>1746.4</v>
      </c>
      <c r="I124" s="6">
        <v>7020</v>
      </c>
      <c r="J124" s="6">
        <v>3545.5</v>
      </c>
      <c r="K124" s="6">
        <v>4989</v>
      </c>
      <c r="L124" s="6">
        <v>1420.5</v>
      </c>
      <c r="M124" s="6">
        <v>2528.1999999999998</v>
      </c>
      <c r="N124" s="7">
        <f t="shared" si="6"/>
        <v>23904.2</v>
      </c>
      <c r="O124" s="7">
        <f>N124+'59a'!P125+'59a'!G125</f>
        <v>181426.2</v>
      </c>
    </row>
    <row r="125" spans="2:15" s="8" customFormat="1" ht="34.9" hidden="1" customHeight="1">
      <c r="B125" s="15">
        <v>41426</v>
      </c>
      <c r="C125" s="10">
        <v>1687.4</v>
      </c>
      <c r="D125" s="10">
        <v>870.2</v>
      </c>
      <c r="E125" s="10">
        <v>1515.9</v>
      </c>
      <c r="F125" s="10">
        <v>7.6</v>
      </c>
      <c r="G125" s="10">
        <v>1010.9</v>
      </c>
      <c r="H125" s="10">
        <v>1987.3</v>
      </c>
      <c r="I125" s="10">
        <v>3756.7</v>
      </c>
      <c r="J125" s="10">
        <v>4279.8</v>
      </c>
      <c r="K125" s="10">
        <v>5458.5</v>
      </c>
      <c r="L125" s="10">
        <v>7464.5</v>
      </c>
      <c r="M125" s="10">
        <v>3258.9</v>
      </c>
      <c r="N125" s="11">
        <f t="shared" si="6"/>
        <v>31297.7</v>
      </c>
      <c r="O125" s="11">
        <f>N125+'59a'!P126+'59a'!G126</f>
        <v>234683.7</v>
      </c>
    </row>
    <row r="126" spans="2:15" s="8" customFormat="1" ht="34.9" hidden="1" customHeight="1">
      <c r="B126" s="14">
        <v>41456</v>
      </c>
      <c r="C126" s="6">
        <v>539.5</v>
      </c>
      <c r="D126" s="6">
        <v>7875.9</v>
      </c>
      <c r="E126" s="6">
        <v>952.8</v>
      </c>
      <c r="F126" s="6">
        <v>58.7</v>
      </c>
      <c r="G126" s="6">
        <v>253.9</v>
      </c>
      <c r="H126" s="6">
        <v>2745</v>
      </c>
      <c r="I126" s="6">
        <v>6861.5</v>
      </c>
      <c r="J126" s="6">
        <v>5435.3</v>
      </c>
      <c r="K126" s="6">
        <f>3157.3+4000</f>
        <v>7157.3</v>
      </c>
      <c r="L126" s="6">
        <v>4604.7</v>
      </c>
      <c r="M126" s="6">
        <v>1054.3</v>
      </c>
      <c r="N126" s="7">
        <f t="shared" si="6"/>
        <v>37538.9</v>
      </c>
      <c r="O126" s="7">
        <f>N126+'59a'!P127+'59a'!G127</f>
        <v>155222.79999999999</v>
      </c>
    </row>
    <row r="127" spans="2:15" s="8" customFormat="1" ht="34.9" hidden="1" customHeight="1">
      <c r="B127" s="15">
        <v>41487</v>
      </c>
      <c r="C127" s="10">
        <v>134.30000000000001</v>
      </c>
      <c r="D127" s="10">
        <v>745.1</v>
      </c>
      <c r="E127" s="10">
        <v>920.5</v>
      </c>
      <c r="F127" s="10">
        <v>13.1</v>
      </c>
      <c r="G127" s="10">
        <v>69.2</v>
      </c>
      <c r="H127" s="10">
        <v>2947.9</v>
      </c>
      <c r="I127" s="10">
        <v>2172.5</v>
      </c>
      <c r="J127" s="10">
        <v>2762.2</v>
      </c>
      <c r="K127" s="10">
        <v>1010.7</v>
      </c>
      <c r="L127" s="10">
        <v>1430.1</v>
      </c>
      <c r="M127" s="10">
        <v>1956</v>
      </c>
      <c r="N127" s="11">
        <v>14161.6</v>
      </c>
      <c r="O127" s="11">
        <f>N127+'59a'!P128+'59a'!G128</f>
        <v>111559.961</v>
      </c>
    </row>
    <row r="128" spans="2:15" s="8" customFormat="1" ht="34.9" hidden="1" customHeight="1">
      <c r="B128" s="14">
        <v>41518</v>
      </c>
      <c r="C128" s="6">
        <v>395.2</v>
      </c>
      <c r="D128" s="6">
        <v>600.9</v>
      </c>
      <c r="E128" s="6">
        <v>384.6</v>
      </c>
      <c r="F128" s="6">
        <v>5.2</v>
      </c>
      <c r="G128" s="6">
        <v>336.5</v>
      </c>
      <c r="H128" s="6">
        <v>4401.8</v>
      </c>
      <c r="I128" s="6">
        <v>4368.3</v>
      </c>
      <c r="J128" s="6">
        <v>2066.8000000000002</v>
      </c>
      <c r="K128" s="6">
        <v>1329.3</v>
      </c>
      <c r="L128" s="6">
        <v>5720.7</v>
      </c>
      <c r="M128" s="6">
        <v>2944.3</v>
      </c>
      <c r="N128" s="7">
        <f>SUM(C128:M128)</f>
        <v>22553.599999999999</v>
      </c>
      <c r="O128" s="7">
        <f>N128+'59a'!P129+'59a'!G129</f>
        <v>144408.4</v>
      </c>
    </row>
    <row r="129" spans="2:15" s="8" customFormat="1" ht="34.9" hidden="1" customHeight="1">
      <c r="B129" s="15">
        <v>41548</v>
      </c>
      <c r="C129" s="10">
        <f>203.4+500.6</f>
        <v>704</v>
      </c>
      <c r="D129" s="10">
        <v>3941</v>
      </c>
      <c r="E129" s="10">
        <v>955.4</v>
      </c>
      <c r="F129" s="10">
        <v>10.6</v>
      </c>
      <c r="G129" s="10">
        <v>641.4</v>
      </c>
      <c r="H129" s="10">
        <v>2037.3</v>
      </c>
      <c r="I129" s="10">
        <v>6188.7</v>
      </c>
      <c r="J129" s="10">
        <f>4871.2+1089.6</f>
        <v>5960.7999999999993</v>
      </c>
      <c r="K129" s="10">
        <v>1580.7</v>
      </c>
      <c r="L129" s="10">
        <v>6915.8</v>
      </c>
      <c r="M129" s="10">
        <v>3185.6</v>
      </c>
      <c r="N129" s="11">
        <f>SUM(C129:M129)</f>
        <v>32121.299999999996</v>
      </c>
      <c r="O129" s="11">
        <f>N129+'59a'!P130+'59a'!G130</f>
        <v>147595.20000000001</v>
      </c>
    </row>
    <row r="130" spans="2:15" s="8" customFormat="1" ht="34.9" hidden="1" customHeight="1">
      <c r="B130" s="14">
        <v>41579</v>
      </c>
      <c r="C130" s="6">
        <v>1233.7</v>
      </c>
      <c r="D130" s="6">
        <f>1215.1+500.8</f>
        <v>1715.8999999999999</v>
      </c>
      <c r="E130" s="6">
        <v>1865.9</v>
      </c>
      <c r="F130" s="6">
        <v>0.1</v>
      </c>
      <c r="G130" s="6">
        <v>279.7</v>
      </c>
      <c r="H130" s="6">
        <v>2012.6</v>
      </c>
      <c r="I130" s="6">
        <v>7989.2</v>
      </c>
      <c r="J130" s="6">
        <v>6051.6</v>
      </c>
      <c r="K130" s="6">
        <v>3150.5</v>
      </c>
      <c r="L130" s="6">
        <v>5237</v>
      </c>
      <c r="M130" s="6">
        <v>4273.8</v>
      </c>
      <c r="N130" s="7">
        <f>SUM(C130:M130)</f>
        <v>33810</v>
      </c>
      <c r="O130" s="7">
        <f>N130+'59a'!P131+'59a'!G131</f>
        <v>170461.5</v>
      </c>
    </row>
    <row r="131" spans="2:15" s="8" customFormat="1" ht="34.9" hidden="1" customHeight="1">
      <c r="B131" s="15">
        <v>41609</v>
      </c>
      <c r="C131" s="10">
        <v>886.8</v>
      </c>
      <c r="D131" s="10">
        <v>3781.4</v>
      </c>
      <c r="E131" s="10">
        <v>550.29999999999995</v>
      </c>
      <c r="F131" s="10">
        <v>29.4</v>
      </c>
      <c r="G131" s="10">
        <v>380.5</v>
      </c>
      <c r="H131" s="10">
        <v>5902.1</v>
      </c>
      <c r="I131" s="10">
        <v>14675.8</v>
      </c>
      <c r="J131" s="10">
        <v>4861.2</v>
      </c>
      <c r="K131" s="10">
        <v>2653.7</v>
      </c>
      <c r="L131" s="10">
        <v>2818.1</v>
      </c>
      <c r="M131" s="10">
        <v>2118.6</v>
      </c>
      <c r="N131" s="11">
        <f>SUM(C131:M131)</f>
        <v>38657.899999999994</v>
      </c>
      <c r="O131" s="11">
        <f>N131+'59a'!P132+'59a'!G132</f>
        <v>209616.182</v>
      </c>
    </row>
    <row r="132" spans="2:15" s="8" customFormat="1" ht="34.9" hidden="1" customHeight="1">
      <c r="B132" s="3">
        <v>2014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3"/>
    </row>
    <row r="133" spans="2:15" s="8" customFormat="1" ht="34.9" hidden="1" customHeight="1">
      <c r="B133" s="14">
        <v>41640</v>
      </c>
      <c r="C133" s="6">
        <v>2476.6999999999998</v>
      </c>
      <c r="D133" s="6">
        <v>6118.7</v>
      </c>
      <c r="E133" s="6">
        <v>865</v>
      </c>
      <c r="F133" s="6">
        <v>0.2</v>
      </c>
      <c r="G133" s="6">
        <v>2917.3</v>
      </c>
      <c r="H133" s="6">
        <v>6910.6</v>
      </c>
      <c r="I133" s="6">
        <v>13271.7</v>
      </c>
      <c r="J133" s="6">
        <v>6880</v>
      </c>
      <c r="K133" s="6">
        <v>3968.6</v>
      </c>
      <c r="L133" s="6">
        <v>6075</v>
      </c>
      <c r="M133" s="6">
        <v>1964</v>
      </c>
      <c r="N133" s="7">
        <f t="shared" ref="N133:N144" si="7">SUM(C133:M133)</f>
        <v>51447.799999999996</v>
      </c>
      <c r="O133" s="7">
        <f>N133+'59a'!P134+'59a'!G134</f>
        <v>310136.7</v>
      </c>
    </row>
    <row r="134" spans="2:15" s="8" customFormat="1" ht="34.9" hidden="1" customHeight="1">
      <c r="B134" s="15">
        <v>41671</v>
      </c>
      <c r="C134" s="10">
        <v>1553.6</v>
      </c>
      <c r="D134" s="10">
        <v>7099.2</v>
      </c>
      <c r="E134" s="10">
        <v>1015.1</v>
      </c>
      <c r="F134" s="10">
        <v>0</v>
      </c>
      <c r="G134" s="10">
        <v>1463.4</v>
      </c>
      <c r="H134" s="10">
        <v>3177.7</v>
      </c>
      <c r="I134" s="10">
        <v>6933.5</v>
      </c>
      <c r="J134" s="10">
        <v>3620.5</v>
      </c>
      <c r="K134" s="10">
        <v>2009.6</v>
      </c>
      <c r="L134" s="10">
        <v>2442.3000000000002</v>
      </c>
      <c r="M134" s="10">
        <v>1255.5999999999999</v>
      </c>
      <c r="N134" s="11">
        <f t="shared" si="7"/>
        <v>30570.499999999996</v>
      </c>
      <c r="O134" s="11">
        <f>N134+'59a'!P135+'59a'!G135</f>
        <v>233716.872</v>
      </c>
    </row>
    <row r="135" spans="2:15" s="8" customFormat="1" ht="34.9" hidden="1" customHeight="1">
      <c r="B135" s="14">
        <v>41699</v>
      </c>
      <c r="C135" s="6">
        <v>330.5</v>
      </c>
      <c r="D135" s="6">
        <v>4761.3999999999996</v>
      </c>
      <c r="E135" s="6">
        <v>765.1</v>
      </c>
      <c r="F135" s="6">
        <v>11.9</v>
      </c>
      <c r="G135" s="6">
        <v>412.8</v>
      </c>
      <c r="H135" s="6">
        <v>2405.6</v>
      </c>
      <c r="I135" s="6">
        <v>9977.2000000000007</v>
      </c>
      <c r="J135" s="6">
        <v>2843.6</v>
      </c>
      <c r="K135" s="6">
        <v>830.6</v>
      </c>
      <c r="L135" s="6">
        <v>2777.8</v>
      </c>
      <c r="M135" s="6">
        <v>1901.2</v>
      </c>
      <c r="N135" s="7">
        <f t="shared" si="7"/>
        <v>27017.699999999997</v>
      </c>
      <c r="O135" s="7">
        <f>N135+'59a'!P136+'59a'!G136</f>
        <v>219844.1</v>
      </c>
    </row>
    <row r="136" spans="2:15" s="8" customFormat="1" ht="34.9" hidden="1" customHeight="1">
      <c r="B136" s="15">
        <v>41730</v>
      </c>
      <c r="C136" s="10">
        <v>1437.6</v>
      </c>
      <c r="D136" s="10">
        <v>3838.5</v>
      </c>
      <c r="E136" s="10">
        <v>400.6</v>
      </c>
      <c r="F136" s="10">
        <v>2.5</v>
      </c>
      <c r="G136" s="10">
        <v>668.3</v>
      </c>
      <c r="H136" s="10">
        <v>17849.3</v>
      </c>
      <c r="I136" s="10">
        <v>9608.9</v>
      </c>
      <c r="J136" s="10">
        <v>2481.8000000000002</v>
      </c>
      <c r="K136" s="10">
        <v>1858.4</v>
      </c>
      <c r="L136" s="10">
        <v>4756.1000000000004</v>
      </c>
      <c r="M136" s="10">
        <v>1172</v>
      </c>
      <c r="N136" s="11">
        <f t="shared" si="7"/>
        <v>44074</v>
      </c>
      <c r="O136" s="11">
        <f>N136+'59a'!P137+'59a'!G137</f>
        <v>204295</v>
      </c>
    </row>
    <row r="137" spans="2:15" s="8" customFormat="1" ht="34.9" hidden="1" customHeight="1">
      <c r="B137" s="14">
        <v>41760</v>
      </c>
      <c r="C137" s="6">
        <v>952.2</v>
      </c>
      <c r="D137" s="6">
        <f>4831.3+1552.5</f>
        <v>6383.8</v>
      </c>
      <c r="E137" s="6">
        <v>263.89999999999998</v>
      </c>
      <c r="F137" s="6">
        <v>0.4</v>
      </c>
      <c r="G137" s="6">
        <v>492.3</v>
      </c>
      <c r="H137" s="6">
        <v>3128</v>
      </c>
      <c r="I137" s="6">
        <v>6967.2</v>
      </c>
      <c r="J137" s="6">
        <v>687.1</v>
      </c>
      <c r="K137" s="6">
        <v>675.9</v>
      </c>
      <c r="L137" s="6">
        <v>3507.7</v>
      </c>
      <c r="M137" s="6">
        <v>1167.2</v>
      </c>
      <c r="N137" s="7">
        <f t="shared" si="7"/>
        <v>24225.7</v>
      </c>
      <c r="O137" s="7">
        <f>N137+'59a'!P138+'59a'!G138</f>
        <v>141374.09999999998</v>
      </c>
    </row>
    <row r="138" spans="2:15" s="8" customFormat="1" ht="34.9" hidden="1" customHeight="1">
      <c r="B138" s="15">
        <v>41791</v>
      </c>
      <c r="C138" s="10">
        <v>1801.9</v>
      </c>
      <c r="D138" s="10">
        <v>6026</v>
      </c>
      <c r="E138" s="10">
        <v>345.4</v>
      </c>
      <c r="F138" s="10">
        <v>6.1</v>
      </c>
      <c r="G138" s="10">
        <v>1670.1</v>
      </c>
      <c r="H138" s="10">
        <v>2997.9</v>
      </c>
      <c r="I138" s="10">
        <v>8344</v>
      </c>
      <c r="J138" s="10">
        <v>1439.3</v>
      </c>
      <c r="K138" s="10">
        <v>510.8</v>
      </c>
      <c r="L138" s="10">
        <v>4643.8</v>
      </c>
      <c r="M138" s="10">
        <v>592.5</v>
      </c>
      <c r="N138" s="11">
        <f t="shared" si="7"/>
        <v>28377.8</v>
      </c>
      <c r="O138" s="11">
        <f>N138+'59a'!P139+'59a'!G139</f>
        <v>207809.00000000003</v>
      </c>
    </row>
    <row r="139" spans="2:15" s="8" customFormat="1" ht="34.9" hidden="1" customHeight="1">
      <c r="B139" s="14">
        <v>41821</v>
      </c>
      <c r="C139" s="6">
        <v>1067.297</v>
      </c>
      <c r="D139" s="6">
        <v>7768.7610000000004</v>
      </c>
      <c r="E139" s="6">
        <v>180.303</v>
      </c>
      <c r="F139" s="6">
        <v>1.339</v>
      </c>
      <c r="G139" s="6">
        <v>1567.2729999999999</v>
      </c>
      <c r="H139" s="6">
        <v>1602.423</v>
      </c>
      <c r="I139" s="6">
        <v>2894.0010000000002</v>
      </c>
      <c r="J139" s="6">
        <v>558.93600000000004</v>
      </c>
      <c r="K139" s="6">
        <v>202.28200000000001</v>
      </c>
      <c r="L139" s="6">
        <v>3635.3679999999999</v>
      </c>
      <c r="M139" s="6">
        <v>95.363</v>
      </c>
      <c r="N139" s="7">
        <f t="shared" si="7"/>
        <v>19573.346000000001</v>
      </c>
      <c r="O139" s="7">
        <f>N139+'59a'!P140+'59a'!G140</f>
        <v>103549.295</v>
      </c>
    </row>
    <row r="140" spans="2:15" s="8" customFormat="1" ht="34.9" hidden="1" customHeight="1">
      <c r="B140" s="15">
        <v>41852</v>
      </c>
      <c r="C140" s="10">
        <v>6642.5969999999998</v>
      </c>
      <c r="D140" s="10">
        <v>4169.3509999999997</v>
      </c>
      <c r="E140" s="10">
        <v>123.331</v>
      </c>
      <c r="F140" s="10">
        <v>11.669</v>
      </c>
      <c r="G140" s="10">
        <v>2306.27</v>
      </c>
      <c r="H140" s="10">
        <v>1366.5070000000001</v>
      </c>
      <c r="I140" s="10">
        <v>7691.82</v>
      </c>
      <c r="J140" s="10">
        <v>757.27</v>
      </c>
      <c r="K140" s="10">
        <v>276.06</v>
      </c>
      <c r="L140" s="10">
        <v>2730.5610000000001</v>
      </c>
      <c r="M140" s="10">
        <v>578.18899999999996</v>
      </c>
      <c r="N140" s="11">
        <f t="shared" si="7"/>
        <v>26653.625</v>
      </c>
      <c r="O140" s="11">
        <f>N140+'59a'!P141+'59a'!G141</f>
        <v>122230.53499999999</v>
      </c>
    </row>
    <row r="141" spans="2:15" s="8" customFormat="1" ht="34.9" hidden="1" customHeight="1">
      <c r="B141" s="14">
        <v>41883</v>
      </c>
      <c r="C141" s="6">
        <v>6512.5</v>
      </c>
      <c r="D141" s="6">
        <v>6350.5</v>
      </c>
      <c r="E141" s="6">
        <v>41.8</v>
      </c>
      <c r="F141" s="6">
        <v>6.2</v>
      </c>
      <c r="G141" s="6">
        <v>832.4</v>
      </c>
      <c r="H141" s="6">
        <v>2302.4</v>
      </c>
      <c r="I141" s="6">
        <v>7761.8</v>
      </c>
      <c r="J141" s="6">
        <v>1367.7</v>
      </c>
      <c r="K141" s="6">
        <v>735.1</v>
      </c>
      <c r="L141" s="6">
        <v>4295.3999999999996</v>
      </c>
      <c r="M141" s="6">
        <v>479.1</v>
      </c>
      <c r="N141" s="7">
        <f t="shared" si="7"/>
        <v>30684.899999999994</v>
      </c>
      <c r="O141" s="7">
        <f>N141+'59a'!P142+'59a'!G142</f>
        <v>163532.29999999999</v>
      </c>
    </row>
    <row r="142" spans="2:15" s="8" customFormat="1" ht="34.9" hidden="1" customHeight="1">
      <c r="B142" s="15">
        <v>41913</v>
      </c>
      <c r="C142" s="10">
        <v>2209.9</v>
      </c>
      <c r="D142" s="10">
        <v>7571.2</v>
      </c>
      <c r="E142" s="10">
        <v>151.30000000000001</v>
      </c>
      <c r="F142" s="10">
        <v>3</v>
      </c>
      <c r="G142" s="10">
        <v>1763.9</v>
      </c>
      <c r="H142" s="10">
        <v>1189.9000000000001</v>
      </c>
      <c r="I142" s="10">
        <v>4554.3</v>
      </c>
      <c r="J142" s="10">
        <v>1012.3</v>
      </c>
      <c r="K142" s="10">
        <v>431.6</v>
      </c>
      <c r="L142" s="10">
        <v>3324.5</v>
      </c>
      <c r="M142" s="10">
        <v>78.400000000000006</v>
      </c>
      <c r="N142" s="11">
        <f t="shared" si="7"/>
        <v>22290.3</v>
      </c>
      <c r="O142" s="11">
        <f>N142+'59a'!P143+'59a'!G143</f>
        <v>131833.69999999998</v>
      </c>
    </row>
    <row r="143" spans="2:15" s="8" customFormat="1" ht="34.9" hidden="1" customHeight="1">
      <c r="B143" s="14">
        <v>41944</v>
      </c>
      <c r="C143" s="6">
        <v>2234</v>
      </c>
      <c r="D143" s="6">
        <v>4497.6000000000004</v>
      </c>
      <c r="E143" s="6">
        <v>106.6</v>
      </c>
      <c r="F143" s="6">
        <v>8.5</v>
      </c>
      <c r="G143" s="6">
        <v>910.1</v>
      </c>
      <c r="H143" s="6">
        <v>3186.2</v>
      </c>
      <c r="I143" s="6">
        <v>6614.1</v>
      </c>
      <c r="J143" s="6">
        <v>880.5</v>
      </c>
      <c r="K143" s="6">
        <v>536.1</v>
      </c>
      <c r="L143" s="6">
        <v>3729.4</v>
      </c>
      <c r="M143" s="6">
        <v>196</v>
      </c>
      <c r="N143" s="7">
        <f t="shared" si="7"/>
        <v>22899.1</v>
      </c>
      <c r="O143" s="7">
        <f>N143+'59a'!P144+'59a'!G144</f>
        <v>154403.1</v>
      </c>
    </row>
    <row r="144" spans="2:15" s="8" customFormat="1" ht="34.9" hidden="1" customHeight="1">
      <c r="B144" s="15">
        <v>41974</v>
      </c>
      <c r="C144" s="10">
        <v>2820.2</v>
      </c>
      <c r="D144" s="10">
        <v>11776.9</v>
      </c>
      <c r="E144" s="10">
        <v>147.1</v>
      </c>
      <c r="F144" s="10">
        <v>159.30000000000001</v>
      </c>
      <c r="G144" s="10">
        <v>1096.5</v>
      </c>
      <c r="H144" s="10">
        <v>3686</v>
      </c>
      <c r="I144" s="10">
        <v>6572.3</v>
      </c>
      <c r="J144" s="10">
        <v>1659.3</v>
      </c>
      <c r="K144" s="10">
        <v>6734.3</v>
      </c>
      <c r="L144" s="10">
        <f>14786.3+738.2</f>
        <v>15524.5</v>
      </c>
      <c r="M144" s="10">
        <v>1103.5999999999999</v>
      </c>
      <c r="N144" s="11">
        <f t="shared" si="7"/>
        <v>51280</v>
      </c>
      <c r="O144" s="11">
        <f>N144+'59a'!P145+'59a'!G145</f>
        <v>270680</v>
      </c>
    </row>
    <row r="145" spans="2:15" s="8" customFormat="1" ht="34.9" hidden="1" customHeight="1">
      <c r="B145" s="3">
        <v>2015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3"/>
      <c r="O145" s="13"/>
    </row>
    <row r="146" spans="2:15" s="8" customFormat="1" ht="34.9" hidden="1" customHeight="1">
      <c r="B146" s="14">
        <v>42005</v>
      </c>
      <c r="C146" s="6">
        <v>899.1</v>
      </c>
      <c r="D146" s="6">
        <v>8500.7999999999993</v>
      </c>
      <c r="E146" s="6">
        <v>69.7</v>
      </c>
      <c r="F146" s="6">
        <v>8.8000000000000007</v>
      </c>
      <c r="G146" s="6">
        <v>656.2</v>
      </c>
      <c r="H146" s="6">
        <v>1727.3</v>
      </c>
      <c r="I146" s="6">
        <v>2516.8000000000002</v>
      </c>
      <c r="J146" s="6">
        <v>1208.3</v>
      </c>
      <c r="K146" s="6">
        <v>3599.4</v>
      </c>
      <c r="L146" s="6">
        <v>9535.2999999999993</v>
      </c>
      <c r="M146" s="6">
        <f>665.4+777</f>
        <v>1442.4</v>
      </c>
      <c r="N146" s="7">
        <f t="shared" ref="N146:N153" si="8">SUM(C146:M146)</f>
        <v>30164.100000000002</v>
      </c>
      <c r="O146" s="7">
        <f>N146+'59a'!P147+'59a'!G147</f>
        <v>185603.19999999998</v>
      </c>
    </row>
    <row r="147" spans="2:15" s="8" customFormat="1" ht="34.9" hidden="1" customHeight="1">
      <c r="B147" s="15">
        <v>42036</v>
      </c>
      <c r="C147" s="10">
        <v>760.8</v>
      </c>
      <c r="D147" s="10">
        <v>11415.5</v>
      </c>
      <c r="E147" s="10">
        <v>87.2</v>
      </c>
      <c r="F147" s="10">
        <v>51.7</v>
      </c>
      <c r="G147" s="10">
        <v>569.9</v>
      </c>
      <c r="H147" s="10">
        <v>1304.5999999999999</v>
      </c>
      <c r="I147" s="10">
        <v>5135.5</v>
      </c>
      <c r="J147" s="10">
        <v>1503.7</v>
      </c>
      <c r="K147" s="10">
        <v>5023</v>
      </c>
      <c r="L147" s="10">
        <v>12349.5</v>
      </c>
      <c r="M147" s="10">
        <v>1102.0999999999999</v>
      </c>
      <c r="N147" s="11">
        <f t="shared" si="8"/>
        <v>39303.5</v>
      </c>
      <c r="O147" s="11">
        <f>N147+'59a'!P148+'59a'!G148</f>
        <v>237708.9</v>
      </c>
    </row>
    <row r="148" spans="2:15" s="8" customFormat="1" ht="34.9" hidden="1" customHeight="1">
      <c r="B148" s="14">
        <v>42064</v>
      </c>
      <c r="C148" s="6">
        <v>706.5</v>
      </c>
      <c r="D148" s="6">
        <v>6269.7</v>
      </c>
      <c r="E148" s="6">
        <v>60.6</v>
      </c>
      <c r="F148" s="6">
        <v>1.4</v>
      </c>
      <c r="G148" s="6">
        <v>194.7</v>
      </c>
      <c r="H148" s="6">
        <v>2265.1</v>
      </c>
      <c r="I148" s="6">
        <v>4311.2</v>
      </c>
      <c r="J148" s="6">
        <v>3081.6</v>
      </c>
      <c r="K148" s="6">
        <v>1888.9</v>
      </c>
      <c r="L148" s="6">
        <v>16840</v>
      </c>
      <c r="M148" s="6">
        <v>383.1</v>
      </c>
      <c r="N148" s="7">
        <f t="shared" si="8"/>
        <v>36002.799999999996</v>
      </c>
      <c r="O148" s="7">
        <f>N148+'59a'!P149+'59a'!G149</f>
        <v>223855</v>
      </c>
    </row>
    <row r="149" spans="2:15" s="8" customFormat="1" ht="34.9" hidden="1" customHeight="1">
      <c r="B149" s="15">
        <v>42095</v>
      </c>
      <c r="C149" s="10">
        <v>3361.6</v>
      </c>
      <c r="D149" s="10">
        <v>8768</v>
      </c>
      <c r="E149" s="10">
        <v>34.200000000000003</v>
      </c>
      <c r="F149" s="10">
        <v>95.1</v>
      </c>
      <c r="G149" s="10">
        <v>489.3</v>
      </c>
      <c r="H149" s="10">
        <v>2661.8</v>
      </c>
      <c r="I149" s="10">
        <v>4012.7</v>
      </c>
      <c r="J149" s="10">
        <v>881.5</v>
      </c>
      <c r="K149" s="10">
        <v>483.7</v>
      </c>
      <c r="L149" s="10">
        <f>4633.7+201.9</f>
        <v>4835.5999999999995</v>
      </c>
      <c r="M149" s="10">
        <v>88.7</v>
      </c>
      <c r="N149" s="11">
        <f t="shared" si="8"/>
        <v>25712.2</v>
      </c>
      <c r="O149" s="11">
        <f>N149+'59a'!P150+'59a'!G150</f>
        <v>203424.69999999998</v>
      </c>
    </row>
    <row r="150" spans="2:15" s="8" customFormat="1" ht="34.9" hidden="1" customHeight="1">
      <c r="B150" s="14">
        <v>42125</v>
      </c>
      <c r="C150" s="6">
        <v>1403.1</v>
      </c>
      <c r="D150" s="6">
        <v>2931.3</v>
      </c>
      <c r="E150" s="6">
        <v>38</v>
      </c>
      <c r="F150" s="6">
        <v>14.4</v>
      </c>
      <c r="G150" s="6">
        <v>286.89999999999998</v>
      </c>
      <c r="H150" s="6">
        <v>1449.2</v>
      </c>
      <c r="I150" s="6">
        <v>9840.1</v>
      </c>
      <c r="J150" s="6">
        <v>573</v>
      </c>
      <c r="K150" s="6">
        <v>1725.2</v>
      </c>
      <c r="L150" s="6">
        <v>4147.1000000000004</v>
      </c>
      <c r="M150" s="6">
        <f>2528.2+309.8+314.2</f>
        <v>3152.2</v>
      </c>
      <c r="N150" s="7">
        <f t="shared" si="8"/>
        <v>25560.500000000004</v>
      </c>
      <c r="O150" s="7">
        <f>N150+'59a'!P151+'59a'!G151</f>
        <v>186625.7</v>
      </c>
    </row>
    <row r="151" spans="2:15" s="8" customFormat="1" ht="34.9" hidden="1" customHeight="1">
      <c r="B151" s="15">
        <v>42156</v>
      </c>
      <c r="C151" s="10">
        <v>5703.3</v>
      </c>
      <c r="D151" s="10">
        <v>2176.1999999999998</v>
      </c>
      <c r="E151" s="10">
        <v>764.2</v>
      </c>
      <c r="F151" s="10">
        <v>3.2</v>
      </c>
      <c r="G151" s="10">
        <v>2141</v>
      </c>
      <c r="H151" s="10">
        <v>1042.5999999999999</v>
      </c>
      <c r="I151" s="10">
        <v>4926.3999999999996</v>
      </c>
      <c r="J151" s="10">
        <v>396.7</v>
      </c>
      <c r="K151" s="10">
        <v>1037</v>
      </c>
      <c r="L151" s="10">
        <f>14954.9+637.5</f>
        <v>15592.4</v>
      </c>
      <c r="M151" s="10">
        <v>262.89999999999998</v>
      </c>
      <c r="N151" s="11">
        <f t="shared" si="8"/>
        <v>34045.9</v>
      </c>
      <c r="O151" s="11">
        <f>N151+'59a'!P152+'59a'!G152</f>
        <v>271737.5</v>
      </c>
    </row>
    <row r="152" spans="2:15" s="8" customFormat="1" ht="34.9" hidden="1" customHeight="1">
      <c r="B152" s="14">
        <v>42186</v>
      </c>
      <c r="C152" s="6">
        <v>1475.1</v>
      </c>
      <c r="D152" s="6">
        <v>1435.2</v>
      </c>
      <c r="E152" s="6">
        <v>74.8</v>
      </c>
      <c r="F152" s="6">
        <v>1.1000000000000001</v>
      </c>
      <c r="G152" s="6">
        <v>1167.5</v>
      </c>
      <c r="H152" s="6">
        <v>2342.1</v>
      </c>
      <c r="I152" s="6">
        <v>17816</v>
      </c>
      <c r="J152" s="6">
        <v>168.1</v>
      </c>
      <c r="K152" s="6">
        <v>731.9</v>
      </c>
      <c r="L152" s="6">
        <f>8027.8+402.4+367.5</f>
        <v>8797.7000000000007</v>
      </c>
      <c r="M152" s="6">
        <v>0</v>
      </c>
      <c r="N152" s="7">
        <f t="shared" si="8"/>
        <v>34009.5</v>
      </c>
      <c r="O152" s="7">
        <f>N152+'59a'!P153+'59a'!G153</f>
        <v>591589.4</v>
      </c>
    </row>
    <row r="153" spans="2:15" s="8" customFormat="1" ht="34.9" hidden="1" customHeight="1">
      <c r="B153" s="15">
        <v>42217</v>
      </c>
      <c r="C153" s="10">
        <v>4777.6109999999999</v>
      </c>
      <c r="D153" s="10">
        <v>1300.155</v>
      </c>
      <c r="E153" s="10">
        <v>20.41</v>
      </c>
      <c r="F153" s="10">
        <v>11.884</v>
      </c>
      <c r="G153" s="10">
        <v>1577.7349999999999</v>
      </c>
      <c r="H153" s="10">
        <v>1948.2860000000001</v>
      </c>
      <c r="I153" s="10">
        <v>3574.7950000000001</v>
      </c>
      <c r="J153" s="10">
        <v>2384.8690000000001</v>
      </c>
      <c r="K153" s="10">
        <v>780.14499999999998</v>
      </c>
      <c r="L153" s="10">
        <v>5732.2169999999996</v>
      </c>
      <c r="M153" s="10">
        <v>0</v>
      </c>
      <c r="N153" s="11">
        <f t="shared" si="8"/>
        <v>22108.107</v>
      </c>
      <c r="O153" s="11">
        <f>N153+'59a'!P154+'59a'!G154</f>
        <v>303655.58100000001</v>
      </c>
    </row>
    <row r="154" spans="2:15" s="8" customFormat="1" ht="34.9" hidden="1" customHeight="1">
      <c r="B154" s="14">
        <v>42248</v>
      </c>
      <c r="C154" s="6">
        <v>850</v>
      </c>
      <c r="D154" s="6">
        <v>1368.9</v>
      </c>
      <c r="E154" s="6">
        <v>276.5</v>
      </c>
      <c r="F154" s="6">
        <v>8.3000000000000007</v>
      </c>
      <c r="G154" s="6">
        <v>1137.5999999999999</v>
      </c>
      <c r="H154" s="6">
        <v>1698.2</v>
      </c>
      <c r="I154" s="6">
        <v>2040.1</v>
      </c>
      <c r="J154" s="6">
        <v>6317.7</v>
      </c>
      <c r="K154" s="6">
        <v>910.4</v>
      </c>
      <c r="L154" s="6">
        <v>6157.7</v>
      </c>
      <c r="M154" s="6">
        <v>0</v>
      </c>
      <c r="N154" s="7">
        <v>20765.400000000001</v>
      </c>
      <c r="O154" s="7">
        <f>N154+'59a'!P155+'59a'!G155</f>
        <v>202071.90000000002</v>
      </c>
    </row>
    <row r="155" spans="2:15" s="8" customFormat="1" ht="34.9" hidden="1" customHeight="1">
      <c r="B155" s="15">
        <v>42278</v>
      </c>
      <c r="C155" s="10">
        <v>344.69799999999998</v>
      </c>
      <c r="D155" s="10">
        <v>817.11500000000001</v>
      </c>
      <c r="E155" s="10">
        <v>37.356000000000002</v>
      </c>
      <c r="F155" s="10">
        <v>7.7690000000000001</v>
      </c>
      <c r="G155" s="10">
        <v>3226.1689999999999</v>
      </c>
      <c r="H155" s="10">
        <v>1882.7280000000001</v>
      </c>
      <c r="I155" s="10">
        <v>2674.1419999999998</v>
      </c>
      <c r="J155" s="10">
        <v>4632.0529999999999</v>
      </c>
      <c r="K155" s="10">
        <v>1151.451</v>
      </c>
      <c r="L155" s="10">
        <v>2138.7739999999999</v>
      </c>
      <c r="M155" s="10">
        <v>0</v>
      </c>
      <c r="N155" s="11">
        <f>SUM(C155:M155)</f>
        <v>16912.255000000001</v>
      </c>
      <c r="O155" s="11">
        <f>N155+'59a'!P156+'59a'!G156</f>
        <v>222568.24</v>
      </c>
    </row>
    <row r="156" spans="2:15" s="8" customFormat="1" ht="34.9" hidden="1" customHeight="1">
      <c r="B156" s="14">
        <v>42309</v>
      </c>
      <c r="C156" s="6">
        <v>855.26300000000003</v>
      </c>
      <c r="D156" s="6">
        <v>789.94200000000001</v>
      </c>
      <c r="E156" s="6">
        <v>13.452</v>
      </c>
      <c r="F156" s="6">
        <v>7.2919999999999998</v>
      </c>
      <c r="G156" s="6">
        <v>4174.1279999999997</v>
      </c>
      <c r="H156" s="6">
        <v>10940.532999999999</v>
      </c>
      <c r="I156" s="6">
        <v>2576.9360000000001</v>
      </c>
      <c r="J156" s="6">
        <v>3501.4340000000002</v>
      </c>
      <c r="K156" s="6">
        <v>4662.1329999999998</v>
      </c>
      <c r="L156" s="6">
        <v>2944.616</v>
      </c>
      <c r="M156" s="6">
        <v>0</v>
      </c>
      <c r="N156" s="7">
        <f>SUM(C156:M156)</f>
        <v>30465.729000000007</v>
      </c>
      <c r="O156" s="7">
        <f>N156+'59a'!P157+'59a'!G157</f>
        <v>153078.484</v>
      </c>
    </row>
    <row r="157" spans="2:15" s="8" customFormat="1" ht="34.9" hidden="1" customHeight="1">
      <c r="B157" s="15">
        <v>42339</v>
      </c>
      <c r="C157" s="10">
        <v>612.4</v>
      </c>
      <c r="D157" s="10">
        <v>1448.5</v>
      </c>
      <c r="E157" s="10">
        <v>12.6</v>
      </c>
      <c r="F157" s="10">
        <v>2.8</v>
      </c>
      <c r="G157" s="10">
        <v>4466</v>
      </c>
      <c r="H157" s="10">
        <v>11972.3</v>
      </c>
      <c r="I157" s="10">
        <v>2884.2</v>
      </c>
      <c r="J157" s="10">
        <v>2292.1</v>
      </c>
      <c r="K157" s="10">
        <v>3287.4</v>
      </c>
      <c r="L157" s="10">
        <v>4534.3999999999996</v>
      </c>
      <c r="M157" s="10">
        <v>0</v>
      </c>
      <c r="N157" s="11">
        <f>SUM(C157:M157)</f>
        <v>31512.699999999997</v>
      </c>
      <c r="O157" s="11">
        <f>N157+'59a'!P158+'59a'!G158</f>
        <v>635160.30000000005</v>
      </c>
    </row>
    <row r="158" spans="2:15" s="8" customFormat="1" ht="34.9" hidden="1" customHeight="1">
      <c r="B158" s="3">
        <v>2016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3"/>
      <c r="O158" s="13"/>
    </row>
    <row r="159" spans="2:15" s="8" customFormat="1" ht="34.9" hidden="1" customHeight="1">
      <c r="B159" s="14">
        <v>42370</v>
      </c>
      <c r="C159" s="6">
        <v>490.1</v>
      </c>
      <c r="D159" s="6">
        <v>3666.2</v>
      </c>
      <c r="E159" s="6">
        <v>35.299999999999997</v>
      </c>
      <c r="F159" s="6">
        <v>0.2</v>
      </c>
      <c r="G159" s="6">
        <v>4082.3</v>
      </c>
      <c r="H159" s="6">
        <v>1027.7</v>
      </c>
      <c r="I159" s="6">
        <v>3891.1</v>
      </c>
      <c r="J159" s="6">
        <v>1724.3</v>
      </c>
      <c r="K159" s="6">
        <v>5044</v>
      </c>
      <c r="L159" s="6">
        <v>3272</v>
      </c>
      <c r="M159" s="6">
        <v>0</v>
      </c>
      <c r="N159" s="7">
        <f t="shared" ref="N159:N170" si="9">SUM(C159:M159)</f>
        <v>23233.200000000001</v>
      </c>
      <c r="O159" s="7">
        <f>N159+'59a'!P160+'59a'!G160</f>
        <v>185205.1</v>
      </c>
    </row>
    <row r="160" spans="2:15" s="8" customFormat="1" ht="34.9" hidden="1" customHeight="1">
      <c r="B160" s="15">
        <v>42401</v>
      </c>
      <c r="C160" s="10">
        <v>702.99599999999998</v>
      </c>
      <c r="D160" s="10">
        <v>2437.13</v>
      </c>
      <c r="E160" s="10">
        <v>29.879000000000001</v>
      </c>
      <c r="F160" s="10">
        <v>7.75</v>
      </c>
      <c r="G160" s="10">
        <v>7094.1670000000004</v>
      </c>
      <c r="H160" s="10">
        <v>2547.9789999999998</v>
      </c>
      <c r="I160" s="10">
        <v>4947.9179999999997</v>
      </c>
      <c r="J160" s="10">
        <v>7264.7969999999996</v>
      </c>
      <c r="K160" s="10">
        <v>8341.6090000000004</v>
      </c>
      <c r="L160" s="10">
        <v>7512.8370000000004</v>
      </c>
      <c r="M160" s="10">
        <v>0</v>
      </c>
      <c r="N160" s="11">
        <f t="shared" si="9"/>
        <v>40887.061999999998</v>
      </c>
      <c r="O160" s="11">
        <f>N160+'59a'!P161+'59a'!G161</f>
        <v>219459.995</v>
      </c>
    </row>
    <row r="161" spans="2:15" s="8" customFormat="1" ht="34.9" hidden="1" customHeight="1">
      <c r="B161" s="14">
        <v>42430</v>
      </c>
      <c r="C161" s="6">
        <v>1018.908</v>
      </c>
      <c r="D161" s="6">
        <v>4015.663</v>
      </c>
      <c r="E161" s="6">
        <v>11.877000000000001</v>
      </c>
      <c r="F161" s="6">
        <v>8.4870000000000001</v>
      </c>
      <c r="G161" s="6">
        <v>3943.5929999999998</v>
      </c>
      <c r="H161" s="6">
        <v>49614.777999999998</v>
      </c>
      <c r="I161" s="6">
        <v>3321.9520000000002</v>
      </c>
      <c r="J161" s="6">
        <v>10506.465</v>
      </c>
      <c r="K161" s="6">
        <v>11138.145</v>
      </c>
      <c r="L161" s="6">
        <v>4417.2349999999997</v>
      </c>
      <c r="M161" s="6">
        <v>0</v>
      </c>
      <c r="N161" s="7">
        <f t="shared" si="9"/>
        <v>87997.103000000003</v>
      </c>
      <c r="O161" s="7">
        <f>N161+'59a'!P162+'59a'!G162</f>
        <v>291507.72200000001</v>
      </c>
    </row>
    <row r="162" spans="2:15" s="8" customFormat="1" ht="34.9" hidden="1" customHeight="1">
      <c r="B162" s="15">
        <v>42461</v>
      </c>
      <c r="C162" s="10">
        <v>389</v>
      </c>
      <c r="D162" s="10">
        <v>1776.6</v>
      </c>
      <c r="E162" s="10">
        <v>53.8</v>
      </c>
      <c r="F162" s="10">
        <v>7.8</v>
      </c>
      <c r="G162" s="10">
        <v>10418.299999999999</v>
      </c>
      <c r="H162" s="10">
        <v>14827.1</v>
      </c>
      <c r="I162" s="10">
        <v>5380.1</v>
      </c>
      <c r="J162" s="10">
        <v>6936.4</v>
      </c>
      <c r="K162" s="10">
        <v>2629.4</v>
      </c>
      <c r="L162" s="10">
        <v>3254.7</v>
      </c>
      <c r="M162" s="10">
        <v>0</v>
      </c>
      <c r="N162" s="11">
        <f t="shared" si="9"/>
        <v>45673.2</v>
      </c>
      <c r="O162" s="11">
        <f>N162+'59a'!P163+'59a'!G163</f>
        <v>177559.3</v>
      </c>
    </row>
    <row r="163" spans="2:15" s="8" customFormat="1" ht="34.9" hidden="1" customHeight="1">
      <c r="B163" s="14">
        <v>42491</v>
      </c>
      <c r="C163" s="6">
        <v>2107.6999999999998</v>
      </c>
      <c r="D163" s="6">
        <v>1074.4000000000001</v>
      </c>
      <c r="E163" s="6">
        <v>348.8</v>
      </c>
      <c r="F163" s="6">
        <v>4</v>
      </c>
      <c r="G163" s="6">
        <v>2454.8000000000002</v>
      </c>
      <c r="H163" s="6">
        <v>22170.7</v>
      </c>
      <c r="I163" s="6">
        <v>4998.6000000000004</v>
      </c>
      <c r="J163" s="6">
        <v>5501.7</v>
      </c>
      <c r="K163" s="6">
        <v>4286.2</v>
      </c>
      <c r="L163" s="6">
        <v>3441.3</v>
      </c>
      <c r="M163" s="6">
        <v>0</v>
      </c>
      <c r="N163" s="7">
        <f t="shared" si="9"/>
        <v>46388.2</v>
      </c>
      <c r="O163" s="7">
        <f>N163+'59a'!P164+'59a'!G164</f>
        <v>183257.1</v>
      </c>
    </row>
    <row r="164" spans="2:15" s="8" customFormat="1" ht="34.9" hidden="1" customHeight="1">
      <c r="B164" s="15">
        <v>42522</v>
      </c>
      <c r="C164" s="10">
        <v>297.34899999999999</v>
      </c>
      <c r="D164" s="10">
        <v>1876.904</v>
      </c>
      <c r="E164" s="10">
        <v>219.74</v>
      </c>
      <c r="F164" s="10">
        <v>15.675000000000001</v>
      </c>
      <c r="G164" s="10">
        <v>2660.9679999999998</v>
      </c>
      <c r="H164" s="10">
        <v>2620.8180000000002</v>
      </c>
      <c r="I164" s="10">
        <v>3800.8009999999999</v>
      </c>
      <c r="J164" s="10">
        <v>3589.9119999999998</v>
      </c>
      <c r="K164" s="10">
        <v>5904.9449999999997</v>
      </c>
      <c r="L164" s="10">
        <v>3221.6320000000001</v>
      </c>
      <c r="M164" s="10">
        <v>0</v>
      </c>
      <c r="N164" s="11">
        <f t="shared" si="9"/>
        <v>24208.744000000002</v>
      </c>
      <c r="O164" s="11">
        <f>N164+'59a'!P165+'59a'!G165</f>
        <v>138707.79699999999</v>
      </c>
    </row>
    <row r="165" spans="2:15" s="8" customFormat="1" ht="34.9" hidden="1" customHeight="1">
      <c r="B165" s="14">
        <v>42552</v>
      </c>
      <c r="C165" s="6">
        <v>322.548</v>
      </c>
      <c r="D165" s="6">
        <v>1484.653</v>
      </c>
      <c r="E165" s="6">
        <v>521.649</v>
      </c>
      <c r="F165" s="6">
        <v>0.4</v>
      </c>
      <c r="G165" s="6">
        <v>2293.328</v>
      </c>
      <c r="H165" s="6">
        <v>3063.8110000000001</v>
      </c>
      <c r="I165" s="6">
        <v>2150.1129999999998</v>
      </c>
      <c r="J165" s="6">
        <v>3633.61</v>
      </c>
      <c r="K165" s="6">
        <v>3799.9090000000001</v>
      </c>
      <c r="L165" s="6">
        <v>12736.194</v>
      </c>
      <c r="M165" s="6">
        <v>0</v>
      </c>
      <c r="N165" s="7">
        <f t="shared" si="9"/>
        <v>30006.215</v>
      </c>
      <c r="O165" s="7">
        <f>N165+'59a'!P166+'59a'!G166</f>
        <v>116394.72499999999</v>
      </c>
    </row>
    <row r="166" spans="2:15" s="8" customFormat="1" ht="34.9" hidden="1" customHeight="1">
      <c r="B166" s="15">
        <v>42583</v>
      </c>
      <c r="C166" s="10">
        <v>3897.0880000000002</v>
      </c>
      <c r="D166" s="10">
        <v>10110.564</v>
      </c>
      <c r="E166" s="10">
        <v>1348.058</v>
      </c>
      <c r="F166" s="10">
        <v>46.731000000000002</v>
      </c>
      <c r="G166" s="10">
        <v>906.10500000000002</v>
      </c>
      <c r="H166" s="10">
        <v>5008.3900000000003</v>
      </c>
      <c r="I166" s="10">
        <v>4126.4350000000004</v>
      </c>
      <c r="J166" s="10">
        <v>2712.826</v>
      </c>
      <c r="K166" s="10">
        <v>3907.5039999999999</v>
      </c>
      <c r="L166" s="10">
        <v>10488.941999999999</v>
      </c>
      <c r="M166" s="10">
        <v>0</v>
      </c>
      <c r="N166" s="11">
        <f t="shared" si="9"/>
        <v>42552.642999999996</v>
      </c>
      <c r="O166" s="11">
        <f>N166+'59a'!P167+'59a'!G167</f>
        <v>171748.12400000001</v>
      </c>
    </row>
    <row r="167" spans="2:15" s="8" customFormat="1" ht="34.9" hidden="1" customHeight="1">
      <c r="B167" s="14">
        <v>42614</v>
      </c>
      <c r="C167" s="6">
        <v>7811.5860000000002</v>
      </c>
      <c r="D167" s="6">
        <v>3587.163</v>
      </c>
      <c r="E167" s="6">
        <v>350.024</v>
      </c>
      <c r="F167" s="6">
        <v>1.4159999999999999</v>
      </c>
      <c r="G167" s="6">
        <v>347.00599999999997</v>
      </c>
      <c r="H167" s="6">
        <v>3368.01</v>
      </c>
      <c r="I167" s="6">
        <v>3401.0309999999999</v>
      </c>
      <c r="J167" s="6">
        <v>7433.1090000000004</v>
      </c>
      <c r="K167" s="6">
        <v>2202.5549999999998</v>
      </c>
      <c r="L167" s="6">
        <v>4235.1750000000002</v>
      </c>
      <c r="M167" s="6">
        <v>0</v>
      </c>
      <c r="N167" s="7">
        <f t="shared" si="9"/>
        <v>32737.074999999997</v>
      </c>
      <c r="O167" s="7">
        <f>N167+'59a'!P168+'59a'!G168</f>
        <v>138694.23699999999</v>
      </c>
    </row>
    <row r="168" spans="2:15" s="8" customFormat="1" ht="34.9" hidden="1" customHeight="1">
      <c r="B168" s="15">
        <v>42644</v>
      </c>
      <c r="C168" s="10">
        <v>1000.671</v>
      </c>
      <c r="D168" s="10">
        <v>1937.15</v>
      </c>
      <c r="E168" s="10">
        <v>80.052999999999997</v>
      </c>
      <c r="F168" s="10">
        <v>9.6620000000000008</v>
      </c>
      <c r="G168" s="10">
        <v>1052.681</v>
      </c>
      <c r="H168" s="10">
        <v>14941.002</v>
      </c>
      <c r="I168" s="10">
        <v>3091.6840000000002</v>
      </c>
      <c r="J168" s="10">
        <v>2382.61</v>
      </c>
      <c r="K168" s="10">
        <v>2669.7150000000001</v>
      </c>
      <c r="L168" s="10">
        <v>12048.493</v>
      </c>
      <c r="M168" s="10">
        <v>0</v>
      </c>
      <c r="N168" s="11">
        <f t="shared" si="9"/>
        <v>39213.721000000005</v>
      </c>
      <c r="O168" s="11">
        <f>N168+'59a'!P169+'59a'!G169</f>
        <v>176051.46300000002</v>
      </c>
    </row>
    <row r="169" spans="2:15" s="8" customFormat="1" ht="34.9" hidden="1" customHeight="1">
      <c r="B169" s="14">
        <v>42675</v>
      </c>
      <c r="C169" s="6">
        <v>3727.9319999999998</v>
      </c>
      <c r="D169" s="6">
        <v>4940.9030000000002</v>
      </c>
      <c r="E169" s="6">
        <v>410.745</v>
      </c>
      <c r="F169" s="6">
        <v>21.43</v>
      </c>
      <c r="G169" s="6">
        <v>1381.701</v>
      </c>
      <c r="H169" s="6">
        <v>124988.414</v>
      </c>
      <c r="I169" s="6">
        <v>78301.342000000004</v>
      </c>
      <c r="J169" s="6">
        <v>1813.5250000000001</v>
      </c>
      <c r="K169" s="6">
        <v>2023.1079999999999</v>
      </c>
      <c r="L169" s="6">
        <v>13869.995000000001</v>
      </c>
      <c r="M169" s="6">
        <v>0</v>
      </c>
      <c r="N169" s="7">
        <f t="shared" si="9"/>
        <v>231479.095</v>
      </c>
      <c r="O169" s="7">
        <f>N169+'59a'!P170+'59a'!G170</f>
        <v>358335.40899999999</v>
      </c>
    </row>
    <row r="170" spans="2:15" s="8" customFormat="1" ht="34.9" hidden="1" customHeight="1">
      <c r="B170" s="15">
        <v>42705</v>
      </c>
      <c r="C170" s="10">
        <v>1476.1769999999999</v>
      </c>
      <c r="D170" s="10">
        <v>2267.2179999999998</v>
      </c>
      <c r="E170" s="10">
        <v>286.88600000000002</v>
      </c>
      <c r="F170" s="10">
        <v>3.4689999999999999</v>
      </c>
      <c r="G170" s="10">
        <v>1763.5329999999999</v>
      </c>
      <c r="H170" s="10">
        <v>38560.370999999999</v>
      </c>
      <c r="I170" s="10">
        <v>3675.5529999999999</v>
      </c>
      <c r="J170" s="10">
        <v>836.82799999999997</v>
      </c>
      <c r="K170" s="10">
        <v>861.46799999999996</v>
      </c>
      <c r="L170" s="10">
        <v>9611.232</v>
      </c>
      <c r="M170" s="10">
        <v>0</v>
      </c>
      <c r="N170" s="11">
        <f t="shared" si="9"/>
        <v>59342.735000000001</v>
      </c>
      <c r="O170" s="11">
        <f>N170+'59a'!P171+'59a'!G171</f>
        <v>172545.21400000001</v>
      </c>
    </row>
    <row r="171" spans="2:15" s="8" customFormat="1" ht="34.9" hidden="1" customHeight="1">
      <c r="B171" s="3">
        <v>2017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3"/>
      <c r="O171" s="13"/>
    </row>
    <row r="172" spans="2:15" s="8" customFormat="1" ht="34.9" hidden="1" customHeight="1">
      <c r="B172" s="14">
        <v>42736</v>
      </c>
      <c r="C172" s="6">
        <v>1610.6120000000001</v>
      </c>
      <c r="D172" s="6">
        <v>2255.835</v>
      </c>
      <c r="E172" s="6">
        <v>706.84199999999998</v>
      </c>
      <c r="F172" s="6">
        <v>1.125</v>
      </c>
      <c r="G172" s="6">
        <v>1362.2070000000001</v>
      </c>
      <c r="H172" s="6">
        <v>169324.65599999999</v>
      </c>
      <c r="I172" s="6">
        <v>2341.0169999999998</v>
      </c>
      <c r="J172" s="6">
        <v>2467.9180000000001</v>
      </c>
      <c r="K172" s="6">
        <v>2503.848</v>
      </c>
      <c r="L172" s="6">
        <v>9546.8629999999994</v>
      </c>
      <c r="M172" s="6">
        <v>0</v>
      </c>
      <c r="N172" s="7">
        <f t="shared" ref="N172:N183" si="10">SUM(C172:M172)</f>
        <v>192120.92300000001</v>
      </c>
      <c r="O172" s="7">
        <f>N172+'59a'!P173+'59a'!G173</f>
        <v>443418.38599999994</v>
      </c>
    </row>
    <row r="173" spans="2:15" s="8" customFormat="1" ht="34.9" hidden="1" customHeight="1">
      <c r="B173" s="15">
        <v>42767</v>
      </c>
      <c r="C173" s="10">
        <v>2818.8209999999999</v>
      </c>
      <c r="D173" s="10">
        <v>1917.2260000000001</v>
      </c>
      <c r="E173" s="10">
        <v>446.58699999999999</v>
      </c>
      <c r="F173" s="10">
        <v>2.56</v>
      </c>
      <c r="G173" s="10">
        <v>1659.847</v>
      </c>
      <c r="H173" s="10">
        <v>39385.908000000003</v>
      </c>
      <c r="I173" s="10">
        <v>4729.2380000000003</v>
      </c>
      <c r="J173" s="10">
        <v>3608.9380000000001</v>
      </c>
      <c r="K173" s="10">
        <v>1133.171</v>
      </c>
      <c r="L173" s="10">
        <v>3898.9290000000001</v>
      </c>
      <c r="M173" s="10">
        <v>0</v>
      </c>
      <c r="N173" s="11">
        <f t="shared" si="10"/>
        <v>59601.225000000006</v>
      </c>
      <c r="O173" s="11">
        <f>N173+'59a'!P174+'59a'!G174</f>
        <v>1035500.657</v>
      </c>
    </row>
    <row r="174" spans="2:15" s="8" customFormat="1" ht="34.9" hidden="1" customHeight="1">
      <c r="B174" s="14">
        <v>42795</v>
      </c>
      <c r="C174" s="6">
        <v>1109.75</v>
      </c>
      <c r="D174" s="6">
        <v>1909.146</v>
      </c>
      <c r="E174" s="6">
        <v>13.015000000000001</v>
      </c>
      <c r="F174" s="6">
        <v>35.616999999999997</v>
      </c>
      <c r="G174" s="6">
        <v>831.4</v>
      </c>
      <c r="H174" s="6">
        <v>18335.845000000001</v>
      </c>
      <c r="I174" s="6">
        <v>15994.146000000001</v>
      </c>
      <c r="J174" s="6">
        <v>1403.923</v>
      </c>
      <c r="K174" s="6">
        <v>907.84199999999998</v>
      </c>
      <c r="L174" s="6">
        <v>7230.9030000000002</v>
      </c>
      <c r="M174" s="6">
        <v>0</v>
      </c>
      <c r="N174" s="7">
        <f t="shared" si="10"/>
        <v>47771.587</v>
      </c>
      <c r="O174" s="7">
        <f>N174+'59a'!P175+'59a'!G175</f>
        <v>189501.11799999999</v>
      </c>
    </row>
    <row r="175" spans="2:15" s="8" customFormat="1" ht="34.9" hidden="1" customHeight="1">
      <c r="B175" s="15">
        <v>42826</v>
      </c>
      <c r="C175" s="10">
        <v>242.15</v>
      </c>
      <c r="D175" s="10">
        <v>1371.723</v>
      </c>
      <c r="E175" s="10">
        <v>12.821999999999999</v>
      </c>
      <c r="F175" s="10">
        <v>3.6989999999999998</v>
      </c>
      <c r="G175" s="10">
        <v>1711.721</v>
      </c>
      <c r="H175" s="10">
        <v>12221.901</v>
      </c>
      <c r="I175" s="10">
        <v>33220.563999999998</v>
      </c>
      <c r="J175" s="10">
        <v>1162.635</v>
      </c>
      <c r="K175" s="10">
        <v>1903.0889999999999</v>
      </c>
      <c r="L175" s="10">
        <v>3400.8270000000002</v>
      </c>
      <c r="M175" s="10">
        <v>0</v>
      </c>
      <c r="N175" s="11">
        <f t="shared" si="10"/>
        <v>55251.131000000001</v>
      </c>
      <c r="O175" s="11">
        <f>N175+'59a'!P176+'59a'!G176</f>
        <v>203898.06</v>
      </c>
    </row>
    <row r="176" spans="2:15" s="8" customFormat="1" ht="34.9" hidden="1" customHeight="1">
      <c r="B176" s="14">
        <v>42856</v>
      </c>
      <c r="C176" s="6">
        <v>352.69400000000002</v>
      </c>
      <c r="D176" s="6">
        <v>2452.4229999999998</v>
      </c>
      <c r="E176" s="6">
        <v>0</v>
      </c>
      <c r="F176" s="6">
        <v>25.4</v>
      </c>
      <c r="G176" s="6">
        <v>1185.402</v>
      </c>
      <c r="H176" s="6">
        <v>24177.829000000002</v>
      </c>
      <c r="I176" s="6">
        <v>13488.058999999999</v>
      </c>
      <c r="J176" s="6">
        <v>1257.1569999999999</v>
      </c>
      <c r="K176" s="6">
        <v>1971.258</v>
      </c>
      <c r="L176" s="6">
        <v>4760.1419999999998</v>
      </c>
      <c r="M176" s="6">
        <v>0</v>
      </c>
      <c r="N176" s="7">
        <f t="shared" si="10"/>
        <v>49670.364000000001</v>
      </c>
      <c r="O176" s="7">
        <f>N176+'59a'!P177+'59a'!G177</f>
        <v>162317.48199999999</v>
      </c>
    </row>
    <row r="177" spans="2:15" s="8" customFormat="1" ht="34.9" hidden="1" customHeight="1">
      <c r="B177" s="15">
        <v>42887</v>
      </c>
      <c r="C177" s="10">
        <v>270.64699999999999</v>
      </c>
      <c r="D177" s="10">
        <v>1268.569</v>
      </c>
      <c r="E177" s="10">
        <v>0</v>
      </c>
      <c r="F177" s="10">
        <v>2.8959999999999999</v>
      </c>
      <c r="G177" s="10">
        <v>255.554</v>
      </c>
      <c r="H177" s="10">
        <v>19492.842000000001</v>
      </c>
      <c r="I177" s="10">
        <v>4472.9709999999995</v>
      </c>
      <c r="J177" s="10">
        <v>860.71199999999999</v>
      </c>
      <c r="K177" s="10">
        <v>471.21600000000001</v>
      </c>
      <c r="L177" s="10">
        <v>2861.5459999999998</v>
      </c>
      <c r="M177" s="10">
        <v>0</v>
      </c>
      <c r="N177" s="11">
        <f t="shared" si="10"/>
        <v>29956.952999999998</v>
      </c>
      <c r="O177" s="11">
        <f>N177+'59a'!P178+'59a'!G178</f>
        <v>138001.16899999999</v>
      </c>
    </row>
    <row r="178" spans="2:15" s="8" customFormat="1" ht="34.9" hidden="1" customHeight="1">
      <c r="B178" s="14">
        <v>42917</v>
      </c>
      <c r="C178" s="6">
        <v>387.048</v>
      </c>
      <c r="D178" s="6">
        <v>6115.5450000000001</v>
      </c>
      <c r="E178" s="6">
        <v>0</v>
      </c>
      <c r="F178" s="6">
        <v>13.205</v>
      </c>
      <c r="G178" s="6">
        <v>594.30399999999997</v>
      </c>
      <c r="H178" s="6">
        <v>40525.898000000001</v>
      </c>
      <c r="I178" s="6">
        <v>10901.173000000001</v>
      </c>
      <c r="J178" s="6">
        <v>1239.116</v>
      </c>
      <c r="K178" s="6">
        <v>1463.232</v>
      </c>
      <c r="L178" s="6">
        <v>2798.0230000000001</v>
      </c>
      <c r="M178" s="6">
        <v>0</v>
      </c>
      <c r="N178" s="7">
        <f t="shared" si="10"/>
        <v>64037.544000000009</v>
      </c>
      <c r="O178" s="7">
        <f>N178+'59a'!P179+'59a'!G179</f>
        <v>179359.49300000002</v>
      </c>
    </row>
    <row r="179" spans="2:15" s="8" customFormat="1" ht="34.9" hidden="1" customHeight="1">
      <c r="B179" s="15">
        <v>42948</v>
      </c>
      <c r="C179" s="10">
        <v>616.97799999999995</v>
      </c>
      <c r="D179" s="10">
        <v>6470.2439999999997</v>
      </c>
      <c r="E179" s="10">
        <v>0</v>
      </c>
      <c r="F179" s="10">
        <v>17.204999999999998</v>
      </c>
      <c r="G179" s="10">
        <v>1245.7809999999999</v>
      </c>
      <c r="H179" s="10">
        <f>23826.569+390+1892.644+910+1444.222</f>
        <v>28463.435000000001</v>
      </c>
      <c r="I179" s="10">
        <v>5738.7340000000004</v>
      </c>
      <c r="J179" s="10">
        <v>1470.7239999999999</v>
      </c>
      <c r="K179" s="10">
        <v>1767.4570000000001</v>
      </c>
      <c r="L179" s="10">
        <v>1555.4860000000001</v>
      </c>
      <c r="M179" s="10">
        <v>0</v>
      </c>
      <c r="N179" s="11">
        <f t="shared" si="10"/>
        <v>47346.043999999994</v>
      </c>
      <c r="O179" s="11">
        <f>N179+'59a'!P180+'59a'!G180</f>
        <v>140097.05649999998</v>
      </c>
    </row>
    <row r="180" spans="2:15" s="8" customFormat="1" ht="34.9" hidden="1" customHeight="1">
      <c r="B180" s="14">
        <v>42979</v>
      </c>
      <c r="C180" s="6">
        <v>531.46699999999998</v>
      </c>
      <c r="D180" s="6">
        <v>5414.5439999999999</v>
      </c>
      <c r="E180" s="6">
        <v>0</v>
      </c>
      <c r="F180" s="6">
        <v>78.813999999999993</v>
      </c>
      <c r="G180" s="6">
        <v>208.83</v>
      </c>
      <c r="H180" s="6">
        <v>2329.9229999999998</v>
      </c>
      <c r="I180" s="6">
        <v>8052.9260000000004</v>
      </c>
      <c r="J180" s="6">
        <v>1306.5150000000001</v>
      </c>
      <c r="K180" s="6">
        <v>1539.241</v>
      </c>
      <c r="L180" s="6">
        <v>3328.8510000000001</v>
      </c>
      <c r="M180" s="6">
        <v>0</v>
      </c>
      <c r="N180" s="7">
        <f t="shared" si="10"/>
        <v>22791.111000000001</v>
      </c>
      <c r="O180" s="7">
        <f>N180+'59a'!P181+'59a'!G181</f>
        <v>86224.73000000001</v>
      </c>
    </row>
    <row r="181" spans="2:15" s="8" customFormat="1" ht="34.9" hidden="1" customHeight="1">
      <c r="B181" s="15">
        <v>43009</v>
      </c>
      <c r="C181" s="10">
        <v>1203.787</v>
      </c>
      <c r="D181" s="10">
        <v>4823.6490000000003</v>
      </c>
      <c r="E181" s="10">
        <v>0</v>
      </c>
      <c r="F181" s="10">
        <v>0</v>
      </c>
      <c r="G181" s="10">
        <v>361.73399999999998</v>
      </c>
      <c r="H181" s="10">
        <v>12189.44</v>
      </c>
      <c r="I181" s="10">
        <v>5133.8649999999998</v>
      </c>
      <c r="J181" s="10">
        <v>1169.174</v>
      </c>
      <c r="K181" s="10">
        <v>1512.059</v>
      </c>
      <c r="L181" s="10">
        <v>3931.1860000000001</v>
      </c>
      <c r="M181" s="10">
        <v>0</v>
      </c>
      <c r="N181" s="11">
        <f t="shared" si="10"/>
        <v>30324.894</v>
      </c>
      <c r="O181" s="11">
        <f>N181+'59a'!P182+'59a'!G182</f>
        <v>110342.65899999999</v>
      </c>
    </row>
    <row r="182" spans="2:15" s="8" customFormat="1" ht="34.9" hidden="1" customHeight="1">
      <c r="B182" s="14">
        <v>43040</v>
      </c>
      <c r="C182" s="6">
        <v>808.423</v>
      </c>
      <c r="D182" s="6">
        <v>3355.0010000000002</v>
      </c>
      <c r="E182" s="6">
        <v>0</v>
      </c>
      <c r="F182" s="6">
        <v>5.1420000000000003</v>
      </c>
      <c r="G182" s="6">
        <v>826.50900000000001</v>
      </c>
      <c r="H182" s="6">
        <v>7570.9849999999997</v>
      </c>
      <c r="I182" s="6">
        <v>4006.9670000000001</v>
      </c>
      <c r="J182" s="6">
        <v>1419.886</v>
      </c>
      <c r="K182" s="6">
        <v>875.64</v>
      </c>
      <c r="L182" s="6">
        <v>5225.0770000000002</v>
      </c>
      <c r="M182" s="6">
        <v>0</v>
      </c>
      <c r="N182" s="7">
        <f t="shared" si="10"/>
        <v>24093.629999999997</v>
      </c>
      <c r="O182" s="7">
        <f>N182+'59a'!P183+'59a'!G183</f>
        <v>112840.82199999999</v>
      </c>
    </row>
    <row r="183" spans="2:15" s="8" customFormat="1" ht="34.9" hidden="1" customHeight="1">
      <c r="B183" s="15">
        <v>43070</v>
      </c>
      <c r="C183" s="10">
        <v>298.899</v>
      </c>
      <c r="D183" s="10">
        <v>2794.0569999999998</v>
      </c>
      <c r="E183" s="10">
        <v>0</v>
      </c>
      <c r="F183" s="10">
        <v>0</v>
      </c>
      <c r="G183" s="10">
        <v>14952.771000000001</v>
      </c>
      <c r="H183" s="10">
        <v>4144.8469999999998</v>
      </c>
      <c r="I183" s="10">
        <v>5492.357</v>
      </c>
      <c r="J183" s="10">
        <v>1166.2349999999999</v>
      </c>
      <c r="K183" s="10">
        <v>1076.1310000000001</v>
      </c>
      <c r="L183" s="10">
        <v>2859.0949999999998</v>
      </c>
      <c r="M183" s="10">
        <v>0</v>
      </c>
      <c r="N183" s="11">
        <f t="shared" si="10"/>
        <v>32784.392</v>
      </c>
      <c r="O183" s="11">
        <f>N183+'59a'!P184+'59a'!G184</f>
        <v>124731.90100000001</v>
      </c>
    </row>
    <row r="184" spans="2:15" s="8" customFormat="1" ht="34.9" hidden="1" customHeight="1">
      <c r="B184" s="3">
        <v>2018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3"/>
      <c r="O184" s="13"/>
    </row>
    <row r="185" spans="2:15" s="8" customFormat="1" ht="34.9" hidden="1" customHeight="1">
      <c r="B185" s="14">
        <v>43101</v>
      </c>
      <c r="C185" s="6">
        <v>841.59</v>
      </c>
      <c r="D185" s="6">
        <v>5704.9870000000001</v>
      </c>
      <c r="E185" s="6">
        <v>0</v>
      </c>
      <c r="F185" s="6">
        <v>3.28</v>
      </c>
      <c r="G185" s="6">
        <v>2923.3530000000001</v>
      </c>
      <c r="H185" s="6">
        <v>9123.3950000000004</v>
      </c>
      <c r="I185" s="6">
        <v>4735.4889999999996</v>
      </c>
      <c r="J185" s="6">
        <v>2993.8409999999999</v>
      </c>
      <c r="K185" s="6">
        <v>1257.998</v>
      </c>
      <c r="L185" s="6">
        <v>6553.1350000000002</v>
      </c>
      <c r="M185" s="6">
        <v>0</v>
      </c>
      <c r="N185" s="7">
        <f t="shared" ref="N185:N196" si="11">SUM(C185:M185)</f>
        <v>34137.067999999999</v>
      </c>
      <c r="O185" s="7">
        <f>N185+'59a'!G186+'59a'!P186</f>
        <v>114022.997</v>
      </c>
    </row>
    <row r="186" spans="2:15" s="8" customFormat="1" ht="34.9" hidden="1" customHeight="1">
      <c r="B186" s="15">
        <v>43132</v>
      </c>
      <c r="C186" s="10">
        <v>815.83699999999999</v>
      </c>
      <c r="D186" s="10">
        <v>2822.2429999999999</v>
      </c>
      <c r="E186" s="10">
        <v>0</v>
      </c>
      <c r="F186" s="10">
        <v>0</v>
      </c>
      <c r="G186" s="10">
        <v>582.19799999999998</v>
      </c>
      <c r="H186" s="10">
        <v>8724.7510000000002</v>
      </c>
      <c r="I186" s="10">
        <v>12838.714</v>
      </c>
      <c r="J186" s="10">
        <v>1089.692</v>
      </c>
      <c r="K186" s="10">
        <v>1290.953</v>
      </c>
      <c r="L186" s="10">
        <v>4424.8590000000004</v>
      </c>
      <c r="M186" s="10">
        <v>0</v>
      </c>
      <c r="N186" s="11">
        <f t="shared" si="11"/>
        <v>32589.247000000003</v>
      </c>
      <c r="O186" s="11">
        <f>N186+'59a'!G187+'59a'!P187</f>
        <v>138919.378</v>
      </c>
    </row>
    <row r="187" spans="2:15" s="8" customFormat="1" ht="34.9" hidden="1" customHeight="1">
      <c r="B187" s="14">
        <v>43160</v>
      </c>
      <c r="C187" s="6">
        <v>585.94399999999996</v>
      </c>
      <c r="D187" s="6">
        <v>2823.5749999999998</v>
      </c>
      <c r="E187" s="6">
        <v>0</v>
      </c>
      <c r="F187" s="6">
        <v>3.3000000000000002E-2</v>
      </c>
      <c r="G187" s="6">
        <v>255.99299999999999</v>
      </c>
      <c r="H187" s="6">
        <v>11520.27</v>
      </c>
      <c r="I187" s="6">
        <v>7281.8239999999996</v>
      </c>
      <c r="J187" s="6">
        <v>2241.739</v>
      </c>
      <c r="K187" s="6">
        <v>2923.5259999999998</v>
      </c>
      <c r="L187" s="6">
        <v>6924.9110000000001</v>
      </c>
      <c r="M187" s="6">
        <v>0</v>
      </c>
      <c r="N187" s="7">
        <f t="shared" si="11"/>
        <v>34557.815000000002</v>
      </c>
      <c r="O187" s="7">
        <f>N187+'59a'!G188+'59a'!P188</f>
        <v>131668.34400000001</v>
      </c>
    </row>
    <row r="188" spans="2:15" s="8" customFormat="1" ht="34.9" hidden="1" customHeight="1">
      <c r="B188" s="15">
        <v>43191</v>
      </c>
      <c r="C188" s="10">
        <v>446.08800000000002</v>
      </c>
      <c r="D188" s="10">
        <v>1465.1759999999999</v>
      </c>
      <c r="E188" s="10">
        <v>0</v>
      </c>
      <c r="F188" s="10">
        <v>0.34899999999999998</v>
      </c>
      <c r="G188" s="10">
        <v>296.125</v>
      </c>
      <c r="H188" s="10">
        <v>5420.56</v>
      </c>
      <c r="I188" s="10">
        <v>4085.5309999999999</v>
      </c>
      <c r="J188" s="10">
        <v>2588.569</v>
      </c>
      <c r="K188" s="10">
        <v>2464.52</v>
      </c>
      <c r="L188" s="10">
        <v>1669.309</v>
      </c>
      <c r="M188" s="10">
        <v>0</v>
      </c>
      <c r="N188" s="11">
        <f t="shared" si="11"/>
        <v>18436.227000000003</v>
      </c>
      <c r="O188" s="11">
        <f>N188+'59a'!G189+'59a'!P189</f>
        <v>114124.40700000001</v>
      </c>
    </row>
    <row r="189" spans="2:15" s="8" customFormat="1" ht="34.9" hidden="1" customHeight="1">
      <c r="B189" s="14">
        <v>43221</v>
      </c>
      <c r="C189" s="6">
        <v>675.76499999999999</v>
      </c>
      <c r="D189" s="6">
        <v>2637.2539999999999</v>
      </c>
      <c r="E189" s="6">
        <v>0</v>
      </c>
      <c r="F189" s="6">
        <v>2.4529999999999998</v>
      </c>
      <c r="G189" s="6">
        <v>257.89</v>
      </c>
      <c r="H189" s="6">
        <v>9075.6479999999992</v>
      </c>
      <c r="I189" s="6">
        <v>98027.563999999998</v>
      </c>
      <c r="J189" s="6">
        <v>1386.5360000000001</v>
      </c>
      <c r="K189" s="6">
        <v>705.69200000000001</v>
      </c>
      <c r="L189" s="6">
        <v>1520.5719999999999</v>
      </c>
      <c r="M189" s="6">
        <v>0</v>
      </c>
      <c r="N189" s="7">
        <f t="shared" si="11"/>
        <v>114289.37399999998</v>
      </c>
      <c r="O189" s="7">
        <f>N189+'59a'!G190+'59a'!P190</f>
        <v>207481.75499999998</v>
      </c>
    </row>
    <row r="190" spans="2:15" s="8" customFormat="1" ht="34.9" hidden="1" customHeight="1">
      <c r="B190" s="15">
        <v>43252</v>
      </c>
      <c r="C190" s="10">
        <v>111.721</v>
      </c>
      <c r="D190" s="10">
        <v>1045.7560000000001</v>
      </c>
      <c r="E190" s="10">
        <v>0</v>
      </c>
      <c r="F190" s="10">
        <v>3.407</v>
      </c>
      <c r="G190" s="10">
        <v>45.746000000000002</v>
      </c>
      <c r="H190" s="10">
        <v>3265.8359999999998</v>
      </c>
      <c r="I190" s="10">
        <v>6426.4549999999999</v>
      </c>
      <c r="J190" s="10">
        <v>1514.325</v>
      </c>
      <c r="K190" s="10">
        <v>175.72900000000001</v>
      </c>
      <c r="L190" s="10">
        <v>2209.3989999999999</v>
      </c>
      <c r="M190" s="10">
        <v>0</v>
      </c>
      <c r="N190" s="11">
        <f t="shared" si="11"/>
        <v>14798.374</v>
      </c>
      <c r="O190" s="11">
        <f>N190+'59a'!G191+'59a'!P191</f>
        <v>74870.296000000002</v>
      </c>
    </row>
    <row r="191" spans="2:15" s="8" customFormat="1" ht="34.9" hidden="1" customHeight="1">
      <c r="B191" s="14">
        <v>43282</v>
      </c>
      <c r="C191" s="6">
        <v>328.041</v>
      </c>
      <c r="D191" s="6">
        <v>741.42700000000002</v>
      </c>
      <c r="E191" s="6">
        <v>8.5739999999999998</v>
      </c>
      <c r="F191" s="6">
        <v>19.016999999999999</v>
      </c>
      <c r="G191" s="6">
        <v>71.381</v>
      </c>
      <c r="H191" s="6">
        <v>1974.404</v>
      </c>
      <c r="I191" s="6">
        <v>5459.9120000000003</v>
      </c>
      <c r="J191" s="6">
        <v>1444.739</v>
      </c>
      <c r="K191" s="6">
        <v>755.81799999999998</v>
      </c>
      <c r="L191" s="6">
        <v>1678.683</v>
      </c>
      <c r="M191" s="6">
        <v>0</v>
      </c>
      <c r="N191" s="7">
        <f t="shared" si="11"/>
        <v>12481.995999999999</v>
      </c>
      <c r="O191" s="7">
        <f>N191+'59a'!G192+'59a'!P192</f>
        <v>105518.39800000002</v>
      </c>
    </row>
    <row r="192" spans="2:15" s="8" customFormat="1" ht="34.9" hidden="1" customHeight="1">
      <c r="B192" s="15">
        <v>43313</v>
      </c>
      <c r="C192" s="10">
        <v>272.96699999999998</v>
      </c>
      <c r="D192" s="10">
        <v>894.42200000000003</v>
      </c>
      <c r="E192" s="10">
        <v>4.0250000000000004</v>
      </c>
      <c r="F192" s="10">
        <v>5.9619999999999997</v>
      </c>
      <c r="G192" s="10">
        <v>243.62799999999999</v>
      </c>
      <c r="H192" s="10">
        <v>14440.659</v>
      </c>
      <c r="I192" s="10">
        <v>2957.06</v>
      </c>
      <c r="J192" s="10">
        <v>2725.1109999999999</v>
      </c>
      <c r="K192" s="10">
        <v>358.01600000000002</v>
      </c>
      <c r="L192" s="10">
        <v>1246.2840000000001</v>
      </c>
      <c r="M192" s="10">
        <v>0</v>
      </c>
      <c r="N192" s="11">
        <f t="shared" si="11"/>
        <v>23148.134000000002</v>
      </c>
      <c r="O192" s="11">
        <f>N192+'59a'!G193+'59a'!P193</f>
        <v>191619.32200000001</v>
      </c>
    </row>
    <row r="193" spans="2:15" s="8" customFormat="1" ht="34.9" hidden="1" customHeight="1">
      <c r="B193" s="14">
        <v>43344</v>
      </c>
      <c r="C193" s="6">
        <v>343.85599999999999</v>
      </c>
      <c r="D193" s="6">
        <v>1031.694</v>
      </c>
      <c r="E193" s="6">
        <v>2.339</v>
      </c>
      <c r="F193" s="6">
        <v>0.72599999999999998</v>
      </c>
      <c r="G193" s="6">
        <v>91.23</v>
      </c>
      <c r="H193" s="6">
        <v>6821.43</v>
      </c>
      <c r="I193" s="6">
        <v>3256.8679999999999</v>
      </c>
      <c r="J193" s="6">
        <v>6225.1660000000002</v>
      </c>
      <c r="K193" s="6">
        <v>403.89499999999998</v>
      </c>
      <c r="L193" s="6">
        <v>2505.3789999999999</v>
      </c>
      <c r="M193" s="6">
        <v>0</v>
      </c>
      <c r="N193" s="7">
        <f t="shared" si="11"/>
        <v>20682.583000000002</v>
      </c>
      <c r="O193" s="7">
        <f>N193+'59a'!G194+'59a'!P194</f>
        <v>84036.28</v>
      </c>
    </row>
    <row r="194" spans="2:15" s="8" customFormat="1" ht="34.9" hidden="1" customHeight="1">
      <c r="B194" s="15">
        <v>43374</v>
      </c>
      <c r="C194" s="10">
        <v>280.47300000000001</v>
      </c>
      <c r="D194" s="10">
        <v>5338.2780000000002</v>
      </c>
      <c r="E194" s="10">
        <v>8.7430000000000003</v>
      </c>
      <c r="F194" s="10">
        <v>3.0609999999999999</v>
      </c>
      <c r="G194" s="10">
        <v>182.76</v>
      </c>
      <c r="H194" s="10">
        <v>10781.569</v>
      </c>
      <c r="I194" s="10">
        <v>331911.96100000001</v>
      </c>
      <c r="J194" s="10">
        <v>11601.626</v>
      </c>
      <c r="K194" s="10">
        <v>1293.077</v>
      </c>
      <c r="L194" s="10">
        <v>1997.4369999999999</v>
      </c>
      <c r="M194" s="10">
        <v>0</v>
      </c>
      <c r="N194" s="11">
        <f t="shared" si="11"/>
        <v>363398.98499999999</v>
      </c>
      <c r="O194" s="11">
        <f>N194+'59a'!G195+'59a'!P195</f>
        <v>464008.84699999995</v>
      </c>
    </row>
    <row r="195" spans="2:15" s="8" customFormat="1" ht="34.9" hidden="1" customHeight="1">
      <c r="B195" s="14">
        <v>43405</v>
      </c>
      <c r="C195" s="6">
        <v>404.11</v>
      </c>
      <c r="D195" s="6">
        <v>3010.1239999999998</v>
      </c>
      <c r="E195" s="6">
        <v>0.95099999999999996</v>
      </c>
      <c r="F195" s="6">
        <v>0.161</v>
      </c>
      <c r="G195" s="6">
        <v>128.01400000000001</v>
      </c>
      <c r="H195" s="6">
        <v>4284.7299999999996</v>
      </c>
      <c r="I195" s="6">
        <v>4394.3959999999997</v>
      </c>
      <c r="J195" s="6">
        <v>6605.982</v>
      </c>
      <c r="K195" s="6">
        <v>1181.1959999999999</v>
      </c>
      <c r="L195" s="6">
        <v>1621.672</v>
      </c>
      <c r="M195" s="6">
        <v>0</v>
      </c>
      <c r="N195" s="7">
        <f t="shared" si="11"/>
        <v>21631.335999999999</v>
      </c>
      <c r="O195" s="7">
        <f>N195+'59a'!G196+'59a'!P196</f>
        <v>100976.837</v>
      </c>
    </row>
    <row r="196" spans="2:15" s="8" customFormat="1" ht="34.9" hidden="1" customHeight="1">
      <c r="B196" s="15">
        <v>43435</v>
      </c>
      <c r="C196" s="10">
        <v>688.20799999999997</v>
      </c>
      <c r="D196" s="10">
        <v>1778.2360000000001</v>
      </c>
      <c r="E196" s="10">
        <v>0</v>
      </c>
      <c r="F196" s="10">
        <v>0.56200000000000006</v>
      </c>
      <c r="G196" s="10">
        <v>483.35599999999999</v>
      </c>
      <c r="H196" s="10">
        <v>280191.02100000001</v>
      </c>
      <c r="I196" s="10">
        <v>3035.422</v>
      </c>
      <c r="J196" s="10">
        <v>7224.2920000000004</v>
      </c>
      <c r="K196" s="10">
        <v>504.88400000000001</v>
      </c>
      <c r="L196" s="10">
        <v>4232.01</v>
      </c>
      <c r="M196" s="10">
        <v>0</v>
      </c>
      <c r="N196" s="11">
        <f t="shared" si="11"/>
        <v>298137.9910000001</v>
      </c>
      <c r="O196" s="11">
        <f>N196+'59a'!G197+'59a'!P197</f>
        <v>592079.12100000004</v>
      </c>
    </row>
    <row r="197" spans="2:15" s="8" customFormat="1" ht="34.9" hidden="1" customHeight="1">
      <c r="B197" s="3">
        <v>2019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3"/>
    </row>
    <row r="198" spans="2:15" s="8" customFormat="1" ht="34.9" hidden="1" customHeight="1">
      <c r="B198" s="14">
        <v>43466</v>
      </c>
      <c r="C198" s="6">
        <v>566.67200000000003</v>
      </c>
      <c r="D198" s="6">
        <v>1709.3589999999999</v>
      </c>
      <c r="E198" s="6">
        <v>0.61699999999999999</v>
      </c>
      <c r="F198" s="6">
        <v>1.208</v>
      </c>
      <c r="G198" s="6">
        <v>537.24699999999996</v>
      </c>
      <c r="H198" s="6">
        <v>21806.955999999998</v>
      </c>
      <c r="I198" s="6">
        <v>3394.0740000000001</v>
      </c>
      <c r="J198" s="6">
        <v>1605.788</v>
      </c>
      <c r="K198" s="6">
        <v>354.10700000000003</v>
      </c>
      <c r="L198" s="6">
        <v>1315.546</v>
      </c>
      <c r="M198" s="6">
        <v>0</v>
      </c>
      <c r="N198" s="7">
        <f t="shared" ref="N198:N209" si="12">SUM(C198:M198)</f>
        <v>31291.573999999997</v>
      </c>
      <c r="O198" s="7">
        <f>N198+'59a'!P199+'59a'!G199</f>
        <v>90894.370999999999</v>
      </c>
    </row>
    <row r="199" spans="2:15" s="8" customFormat="1" ht="34.9" hidden="1" customHeight="1">
      <c r="B199" s="15">
        <v>43497</v>
      </c>
      <c r="C199" s="10">
        <v>698.60900000000004</v>
      </c>
      <c r="D199" s="10">
        <v>717.59400000000005</v>
      </c>
      <c r="E199" s="10">
        <v>3.2690000000000001</v>
      </c>
      <c r="F199" s="10">
        <v>0</v>
      </c>
      <c r="G199" s="10">
        <v>305.48700000000002</v>
      </c>
      <c r="H199" s="10">
        <v>4095.319</v>
      </c>
      <c r="I199" s="10">
        <v>1676.046</v>
      </c>
      <c r="J199" s="10">
        <v>1381.633</v>
      </c>
      <c r="K199" s="10">
        <v>341.976</v>
      </c>
      <c r="L199" s="10">
        <v>1011.153</v>
      </c>
      <c r="M199" s="10">
        <v>0</v>
      </c>
      <c r="N199" s="11">
        <f t="shared" si="12"/>
        <v>10231.086000000001</v>
      </c>
      <c r="O199" s="11">
        <f>N199+'59a'!P200+'59a'!G200</f>
        <v>97204.164000000019</v>
      </c>
    </row>
    <row r="200" spans="2:15" s="8" customFormat="1" ht="34.9" hidden="1" customHeight="1">
      <c r="B200" s="14">
        <v>43525</v>
      </c>
      <c r="C200" s="6">
        <v>433.8</v>
      </c>
      <c r="D200" s="6">
        <v>2257.665</v>
      </c>
      <c r="E200" s="6">
        <v>25.1</v>
      </c>
      <c r="F200" s="6">
        <v>0</v>
      </c>
      <c r="G200" s="6">
        <v>1458.521</v>
      </c>
      <c r="H200" s="6">
        <v>3731.6370000000002</v>
      </c>
      <c r="I200" s="6">
        <v>1711.203</v>
      </c>
      <c r="J200" s="6">
        <v>3210.6669999999999</v>
      </c>
      <c r="K200" s="6">
        <v>327.65100000000001</v>
      </c>
      <c r="L200" s="6">
        <v>4172.9390000000003</v>
      </c>
      <c r="M200" s="6">
        <v>0</v>
      </c>
      <c r="N200" s="7">
        <f t="shared" si="12"/>
        <v>17329.182999999997</v>
      </c>
      <c r="O200" s="7">
        <f>N200+'59a'!P201+'59a'!G201</f>
        <v>165949.04700000002</v>
      </c>
    </row>
    <row r="201" spans="2:15" s="8" customFormat="1" ht="34.9" hidden="1" customHeight="1">
      <c r="B201" s="15">
        <v>43556</v>
      </c>
      <c r="C201" s="10">
        <v>3289.9839999999999</v>
      </c>
      <c r="D201" s="10">
        <v>3104.6750000000002</v>
      </c>
      <c r="E201" s="10">
        <v>12.236000000000001</v>
      </c>
      <c r="F201" s="10">
        <v>0</v>
      </c>
      <c r="G201" s="10">
        <v>1330.4670000000001</v>
      </c>
      <c r="H201" s="10">
        <v>3605.5430000000001</v>
      </c>
      <c r="I201" s="10">
        <v>34042.49</v>
      </c>
      <c r="J201" s="10">
        <v>3313.317</v>
      </c>
      <c r="K201" s="10">
        <v>206.45099999999999</v>
      </c>
      <c r="L201" s="10">
        <v>961.80700000000002</v>
      </c>
      <c r="M201" s="10">
        <v>0</v>
      </c>
      <c r="N201" s="11">
        <f t="shared" si="12"/>
        <v>49866.97</v>
      </c>
      <c r="O201" s="11">
        <f>N201+'59a'!P202+'59a'!G202</f>
        <v>134078.96600000001</v>
      </c>
    </row>
    <row r="202" spans="2:15" s="8" customFormat="1" ht="34.9" hidden="1" customHeight="1">
      <c r="B202" s="14">
        <v>43586</v>
      </c>
      <c r="C202" s="6">
        <v>1022.79</v>
      </c>
      <c r="D202" s="6">
        <v>3006.1889999999999</v>
      </c>
      <c r="E202" s="6">
        <v>4.95</v>
      </c>
      <c r="F202" s="6">
        <v>0</v>
      </c>
      <c r="G202" s="6">
        <v>2532.5070000000001</v>
      </c>
      <c r="H202" s="6">
        <v>4455.9750000000004</v>
      </c>
      <c r="I202" s="6">
        <v>5199.7250000000004</v>
      </c>
      <c r="J202" s="6">
        <v>1279.606</v>
      </c>
      <c r="K202" s="6">
        <v>219.791</v>
      </c>
      <c r="L202" s="6">
        <v>1678.86</v>
      </c>
      <c r="M202" s="6">
        <v>0</v>
      </c>
      <c r="N202" s="7">
        <f t="shared" si="12"/>
        <v>19400.393000000004</v>
      </c>
      <c r="O202" s="7">
        <f>N202+'59a'!P203+'59a'!G203</f>
        <v>82758.292000000001</v>
      </c>
    </row>
    <row r="203" spans="2:15" s="8" customFormat="1" ht="34.9" hidden="1" customHeight="1">
      <c r="B203" s="15">
        <v>43617</v>
      </c>
      <c r="C203" s="10">
        <v>140.21299999999999</v>
      </c>
      <c r="D203" s="10">
        <v>2686.6120000000001</v>
      </c>
      <c r="E203" s="10">
        <v>0</v>
      </c>
      <c r="F203" s="10">
        <v>0</v>
      </c>
      <c r="G203" s="10">
        <v>2621.78</v>
      </c>
      <c r="H203" s="10">
        <v>9839.0949999999993</v>
      </c>
      <c r="I203" s="10">
        <v>6726.8419999999996</v>
      </c>
      <c r="J203" s="10">
        <v>1122.4549999999999</v>
      </c>
      <c r="K203" s="10">
        <v>593.37800000000004</v>
      </c>
      <c r="L203" s="10">
        <v>520.60299999999995</v>
      </c>
      <c r="M203" s="10">
        <v>0</v>
      </c>
      <c r="N203" s="11">
        <f t="shared" si="12"/>
        <v>24250.978000000003</v>
      </c>
      <c r="O203" s="11">
        <f>N203+'59a'!P204+'59a'!G204</f>
        <v>97180.873999999996</v>
      </c>
    </row>
    <row r="204" spans="2:15" s="8" customFormat="1" ht="34.9" hidden="1" customHeight="1">
      <c r="B204" s="14">
        <v>43647</v>
      </c>
      <c r="C204" s="6">
        <v>426.80900000000003</v>
      </c>
      <c r="D204" s="6">
        <v>1969.3150000000001</v>
      </c>
      <c r="E204" s="6">
        <v>0</v>
      </c>
      <c r="F204" s="6">
        <v>0</v>
      </c>
      <c r="G204" s="6">
        <v>2647.9940000000001</v>
      </c>
      <c r="H204" s="6">
        <v>12321.535</v>
      </c>
      <c r="I204" s="6">
        <v>11602.166999999999</v>
      </c>
      <c r="J204" s="6">
        <v>1198.75</v>
      </c>
      <c r="K204" s="6">
        <v>574.58600000000001</v>
      </c>
      <c r="L204" s="6">
        <v>4831.6059999999998</v>
      </c>
      <c r="M204" s="6">
        <v>0</v>
      </c>
      <c r="N204" s="7">
        <f t="shared" si="12"/>
        <v>35572.762000000002</v>
      </c>
      <c r="O204" s="7">
        <f>N204+'59a'!P205+'59a'!G205</f>
        <v>149743.522</v>
      </c>
    </row>
    <row r="205" spans="2:15" s="8" customFormat="1" ht="34.9" hidden="1" customHeight="1">
      <c r="B205" s="15">
        <v>43678</v>
      </c>
      <c r="C205" s="10">
        <v>90.856999999999999</v>
      </c>
      <c r="D205" s="10">
        <v>3238.4009999999998</v>
      </c>
      <c r="E205" s="10">
        <v>0</v>
      </c>
      <c r="F205" s="10">
        <v>0</v>
      </c>
      <c r="G205" s="10">
        <v>2156.4340000000002</v>
      </c>
      <c r="H205" s="10">
        <v>2766.5920000000001</v>
      </c>
      <c r="I205" s="10">
        <v>3937.096</v>
      </c>
      <c r="J205" s="10">
        <v>1374.691</v>
      </c>
      <c r="K205" s="10">
        <v>458.05700000000002</v>
      </c>
      <c r="L205" s="10">
        <v>4768.2569999999996</v>
      </c>
      <c r="M205" s="10">
        <v>0</v>
      </c>
      <c r="N205" s="11">
        <f t="shared" si="12"/>
        <v>18790.385000000002</v>
      </c>
      <c r="O205" s="11">
        <f>N205+'59a'!P206+'59a'!G206</f>
        <v>107985.14599999999</v>
      </c>
    </row>
    <row r="206" spans="2:15" s="8" customFormat="1" ht="34.9" hidden="1" customHeight="1">
      <c r="B206" s="14">
        <v>43709</v>
      </c>
      <c r="C206" s="6">
        <v>126.688</v>
      </c>
      <c r="D206" s="6">
        <v>4354.2299999999996</v>
      </c>
      <c r="E206" s="6">
        <v>0</v>
      </c>
      <c r="F206" s="6">
        <v>0</v>
      </c>
      <c r="G206" s="6">
        <v>2632.4720000000002</v>
      </c>
      <c r="H206" s="6">
        <v>2842.2310000000002</v>
      </c>
      <c r="I206" s="6">
        <v>1815.05</v>
      </c>
      <c r="J206" s="6">
        <v>1671.4670000000001</v>
      </c>
      <c r="K206" s="6">
        <v>2345.337</v>
      </c>
      <c r="L206" s="6">
        <v>5066.116</v>
      </c>
      <c r="M206" s="6">
        <v>0</v>
      </c>
      <c r="N206" s="7">
        <f t="shared" si="12"/>
        <v>20853.591</v>
      </c>
      <c r="O206" s="7">
        <f>N206+'59a'!P207+'59a'!G207</f>
        <v>151996.84</v>
      </c>
    </row>
    <row r="207" spans="2:15" s="8" customFormat="1" ht="34.9" hidden="1" customHeight="1">
      <c r="B207" s="15">
        <v>43739</v>
      </c>
      <c r="C207" s="10">
        <v>529.16200000000003</v>
      </c>
      <c r="D207" s="10">
        <v>3357.7440000000001</v>
      </c>
      <c r="E207" s="10">
        <v>0</v>
      </c>
      <c r="F207" s="10">
        <v>0</v>
      </c>
      <c r="G207" s="10">
        <v>2049.88</v>
      </c>
      <c r="H207" s="10">
        <v>2478.7280000000001</v>
      </c>
      <c r="I207" s="10">
        <v>2719.5970000000002</v>
      </c>
      <c r="J207" s="10">
        <v>1739.25</v>
      </c>
      <c r="K207" s="10">
        <v>4100.5590000000002</v>
      </c>
      <c r="L207" s="10">
        <v>4275.433</v>
      </c>
      <c r="M207" s="10">
        <v>0</v>
      </c>
      <c r="N207" s="11">
        <f t="shared" si="12"/>
        <v>21250.352999999999</v>
      </c>
      <c r="O207" s="11">
        <f>N207+'59a'!P208+'59a'!G208</f>
        <v>259266.34399999998</v>
      </c>
    </row>
    <row r="208" spans="2:15" s="8" customFormat="1" ht="34.9" hidden="1" customHeight="1">
      <c r="B208" s="14">
        <v>43770</v>
      </c>
      <c r="C208" s="6">
        <v>652.67700000000002</v>
      </c>
      <c r="D208" s="6">
        <v>2153.509</v>
      </c>
      <c r="E208" s="6">
        <v>0</v>
      </c>
      <c r="F208" s="6">
        <v>0</v>
      </c>
      <c r="G208" s="6">
        <v>5049.3919999999998</v>
      </c>
      <c r="H208" s="6">
        <v>1137.67</v>
      </c>
      <c r="I208" s="6">
        <v>4312.9520000000002</v>
      </c>
      <c r="J208" s="6">
        <v>1403.1279999999999</v>
      </c>
      <c r="K208" s="6">
        <v>1509.8889999999999</v>
      </c>
      <c r="L208" s="6">
        <v>3323.232</v>
      </c>
      <c r="M208" s="6">
        <v>0</v>
      </c>
      <c r="N208" s="7">
        <f t="shared" si="12"/>
        <v>19542.449000000001</v>
      </c>
      <c r="O208" s="7">
        <f>N208+'59a'!P209+'59a'!G209</f>
        <v>89913.498999999996</v>
      </c>
    </row>
    <row r="209" spans="2:15" s="8" customFormat="1" ht="34.9" hidden="1" customHeight="1">
      <c r="B209" s="15">
        <v>43800</v>
      </c>
      <c r="C209" s="10">
        <v>231.328</v>
      </c>
      <c r="D209" s="10">
        <v>1396.0609999999999</v>
      </c>
      <c r="E209" s="10">
        <v>0</v>
      </c>
      <c r="F209" s="10">
        <v>0</v>
      </c>
      <c r="G209" s="10">
        <v>4262.79</v>
      </c>
      <c r="H209" s="10">
        <v>6281.5320000000002</v>
      </c>
      <c r="I209" s="10">
        <v>2676.2750000000001</v>
      </c>
      <c r="J209" s="10">
        <v>951.23699999999997</v>
      </c>
      <c r="K209" s="10">
        <v>1084.7629999999999</v>
      </c>
      <c r="L209" s="10">
        <v>4100.8819999999996</v>
      </c>
      <c r="M209" s="10">
        <v>0</v>
      </c>
      <c r="N209" s="11">
        <f t="shared" si="12"/>
        <v>20984.867999999995</v>
      </c>
      <c r="O209" s="11">
        <f>N209+'59a'!P210+'59a'!G210</f>
        <v>158466.43399999998</v>
      </c>
    </row>
    <row r="210" spans="2:15" s="8" customFormat="1" ht="34.9" hidden="1" customHeight="1">
      <c r="B210" s="3">
        <v>2020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3"/>
      <c r="O210" s="13"/>
    </row>
    <row r="211" spans="2:15" s="8" customFormat="1" ht="34.9" hidden="1" customHeight="1">
      <c r="B211" s="14">
        <v>43831</v>
      </c>
      <c r="C211" s="6">
        <v>381.25900000000001</v>
      </c>
      <c r="D211" s="6">
        <v>1631.7429999999999</v>
      </c>
      <c r="E211" s="6">
        <v>0</v>
      </c>
      <c r="F211" s="6">
        <v>0</v>
      </c>
      <c r="G211" s="6">
        <v>1605.549</v>
      </c>
      <c r="H211" s="6">
        <v>1508.4059999999999</v>
      </c>
      <c r="I211" s="6">
        <v>3750.3679999999999</v>
      </c>
      <c r="J211" s="6">
        <v>589.404</v>
      </c>
      <c r="K211" s="6">
        <v>599.56399999999996</v>
      </c>
      <c r="L211" s="6">
        <v>2815.2539999999999</v>
      </c>
      <c r="M211" s="6">
        <v>0</v>
      </c>
      <c r="N211" s="7">
        <f t="shared" ref="N211:N221" si="13">SUM(C211:M211)</f>
        <v>12881.547000000002</v>
      </c>
      <c r="O211" s="7">
        <f>N211+'59a'!G212+'59a'!P212</f>
        <v>105029.853</v>
      </c>
    </row>
    <row r="212" spans="2:15" s="8" customFormat="1" ht="34.9" hidden="1" customHeight="1">
      <c r="B212" s="15">
        <v>43862</v>
      </c>
      <c r="C212" s="10">
        <v>661.64200000000005</v>
      </c>
      <c r="D212" s="10">
        <v>893.54499999999996</v>
      </c>
      <c r="E212" s="10">
        <v>0</v>
      </c>
      <c r="F212" s="10">
        <v>0</v>
      </c>
      <c r="G212" s="10">
        <v>3565.9009999999998</v>
      </c>
      <c r="H212" s="10">
        <v>2807.6129999999998</v>
      </c>
      <c r="I212" s="10">
        <v>5053.75</v>
      </c>
      <c r="J212" s="10">
        <v>487.65100000000001</v>
      </c>
      <c r="K212" s="10">
        <v>1984.412</v>
      </c>
      <c r="L212" s="10">
        <v>2152.6750000000002</v>
      </c>
      <c r="M212" s="10">
        <v>0</v>
      </c>
      <c r="N212" s="11">
        <f t="shared" si="13"/>
        <v>17607.188999999998</v>
      </c>
      <c r="O212" s="11">
        <f>N212+'59a'!G213+'59a'!P213</f>
        <v>122290.52899999999</v>
      </c>
    </row>
    <row r="213" spans="2:15" s="8" customFormat="1" ht="34.9" hidden="1" customHeight="1">
      <c r="B213" s="14" t="s">
        <v>129</v>
      </c>
      <c r="C213" s="6">
        <v>271.16800000000001</v>
      </c>
      <c r="D213" s="6">
        <v>599.33100000000002</v>
      </c>
      <c r="E213" s="6">
        <v>0</v>
      </c>
      <c r="F213" s="6">
        <v>0</v>
      </c>
      <c r="G213" s="6">
        <v>1248.4359999999999</v>
      </c>
      <c r="H213" s="6">
        <v>2403.623</v>
      </c>
      <c r="I213" s="6">
        <v>5121.0460000000003</v>
      </c>
      <c r="J213" s="6">
        <v>422.80700000000002</v>
      </c>
      <c r="K213" s="6">
        <v>1638.2339999999999</v>
      </c>
      <c r="L213" s="6">
        <v>987.07899999999995</v>
      </c>
      <c r="M213" s="6">
        <v>0</v>
      </c>
      <c r="N213" s="7">
        <f t="shared" si="13"/>
        <v>12691.724</v>
      </c>
      <c r="O213" s="7">
        <f>N213+'59a'!G214+'59a'!P214</f>
        <v>57044.826000000008</v>
      </c>
    </row>
    <row r="214" spans="2:15" s="8" customFormat="1" ht="34.9" hidden="1" customHeight="1">
      <c r="B214" s="15">
        <v>43952</v>
      </c>
      <c r="C214" s="10">
        <v>54.679000000000002</v>
      </c>
      <c r="D214" s="10">
        <v>698.36800000000005</v>
      </c>
      <c r="E214" s="10">
        <v>0</v>
      </c>
      <c r="F214" s="10">
        <v>0</v>
      </c>
      <c r="G214" s="10">
        <v>1494.2159999999999</v>
      </c>
      <c r="H214" s="10">
        <v>879.048</v>
      </c>
      <c r="I214" s="10">
        <v>1769.155</v>
      </c>
      <c r="J214" s="10">
        <v>297.04399999999998</v>
      </c>
      <c r="K214" s="10">
        <v>101.81</v>
      </c>
      <c r="L214" s="10">
        <v>6.3630000000000004</v>
      </c>
      <c r="M214" s="10">
        <v>0</v>
      </c>
      <c r="N214" s="11">
        <f t="shared" si="13"/>
        <v>5300.683</v>
      </c>
      <c r="O214" s="11">
        <f>N214+'59a'!G215+'59a'!P215</f>
        <v>31267.258000000002</v>
      </c>
    </row>
    <row r="215" spans="2:15" s="8" customFormat="1" ht="34.9" hidden="1" customHeight="1">
      <c r="B215" s="14">
        <v>43983</v>
      </c>
      <c r="C215" s="6">
        <v>368.36099999999999</v>
      </c>
      <c r="D215" s="6">
        <v>3750.7689999999998</v>
      </c>
      <c r="E215" s="6">
        <v>0</v>
      </c>
      <c r="F215" s="6">
        <v>0</v>
      </c>
      <c r="G215" s="6">
        <v>823.72299999999996</v>
      </c>
      <c r="H215" s="6">
        <v>2924.5659999999998</v>
      </c>
      <c r="I215" s="6">
        <v>5226.0349999999999</v>
      </c>
      <c r="J215" s="6">
        <v>738.29499999999996</v>
      </c>
      <c r="K215" s="6">
        <v>986.43100000000004</v>
      </c>
      <c r="L215" s="6">
        <v>724.00300000000004</v>
      </c>
      <c r="M215" s="6">
        <v>0</v>
      </c>
      <c r="N215" s="7">
        <f t="shared" si="13"/>
        <v>15542.183000000001</v>
      </c>
      <c r="O215" s="7">
        <f>N215+'59a'!G216+'59a'!P216</f>
        <v>99976.844000000012</v>
      </c>
    </row>
    <row r="216" spans="2:15" s="8" customFormat="1" ht="34.9" hidden="1" customHeight="1">
      <c r="B216" s="15">
        <v>44013</v>
      </c>
      <c r="C216" s="10">
        <v>226.71899999999999</v>
      </c>
      <c r="D216" s="10">
        <v>2291.384</v>
      </c>
      <c r="E216" s="10">
        <v>0</v>
      </c>
      <c r="F216" s="10">
        <v>0</v>
      </c>
      <c r="G216" s="10">
        <v>906.41</v>
      </c>
      <c r="H216" s="10">
        <v>2483.9810000000002</v>
      </c>
      <c r="I216" s="10">
        <v>3434.8879999999999</v>
      </c>
      <c r="J216" s="10">
        <v>848.66399999999999</v>
      </c>
      <c r="K216" s="10">
        <v>477.62400000000002</v>
      </c>
      <c r="L216" s="10">
        <v>706.827</v>
      </c>
      <c r="M216" s="10">
        <v>0</v>
      </c>
      <c r="N216" s="11">
        <f t="shared" si="13"/>
        <v>11376.497000000001</v>
      </c>
      <c r="O216" s="11">
        <f>N216+'59a'!G217+'59a'!P217</f>
        <v>101497.848</v>
      </c>
    </row>
    <row r="217" spans="2:15" s="8" customFormat="1" ht="34.9" hidden="1" customHeight="1">
      <c r="B217" s="14">
        <v>44044</v>
      </c>
      <c r="C217" s="6">
        <v>289.57400000000001</v>
      </c>
      <c r="D217" s="6">
        <v>1536.1469999999999</v>
      </c>
      <c r="E217" s="6">
        <v>0</v>
      </c>
      <c r="F217" s="6">
        <v>0</v>
      </c>
      <c r="G217" s="6">
        <v>7869.0450000000001</v>
      </c>
      <c r="H217" s="6">
        <v>3689.0619999999999</v>
      </c>
      <c r="I217" s="6">
        <v>4142.4129999999996</v>
      </c>
      <c r="J217" s="6">
        <v>291.22699999999998</v>
      </c>
      <c r="K217" s="6">
        <v>1058.856</v>
      </c>
      <c r="L217" s="6">
        <v>20.803000000000001</v>
      </c>
      <c r="M217" s="6">
        <v>0</v>
      </c>
      <c r="N217" s="7">
        <f t="shared" si="13"/>
        <v>18897.126999999997</v>
      </c>
      <c r="O217" s="7">
        <f>N217+'59a'!G218+'59a'!P218</f>
        <v>93279.298999999999</v>
      </c>
    </row>
    <row r="218" spans="2:15" s="8" customFormat="1" ht="34.9" hidden="1" customHeight="1">
      <c r="B218" s="15">
        <v>44075</v>
      </c>
      <c r="C218" s="10">
        <v>418.62099999999998</v>
      </c>
      <c r="D218" s="10">
        <v>5381.4309999999996</v>
      </c>
      <c r="E218" s="10">
        <v>0</v>
      </c>
      <c r="F218" s="10">
        <v>0</v>
      </c>
      <c r="G218" s="10">
        <v>2114.9009999999998</v>
      </c>
      <c r="H218" s="10">
        <v>3588.607</v>
      </c>
      <c r="I218" s="10">
        <v>5750.2169999999996</v>
      </c>
      <c r="J218" s="10">
        <v>507.92899999999997</v>
      </c>
      <c r="K218" s="10">
        <v>1953.4459999999999</v>
      </c>
      <c r="L218" s="10">
        <v>220.06100000000001</v>
      </c>
      <c r="M218" s="10">
        <v>0</v>
      </c>
      <c r="N218" s="11">
        <f t="shared" si="13"/>
        <v>19935.213</v>
      </c>
      <c r="O218" s="11">
        <f>N218+'59a'!G219+'59a'!P219</f>
        <v>100674.455</v>
      </c>
    </row>
    <row r="219" spans="2:15" s="8" customFormat="1" ht="34.9" hidden="1" customHeight="1">
      <c r="B219" s="14">
        <v>44105</v>
      </c>
      <c r="C219" s="6">
        <v>464.34399999999999</v>
      </c>
      <c r="D219" s="6">
        <v>3973.8519999999999</v>
      </c>
      <c r="E219" s="6">
        <v>0</v>
      </c>
      <c r="F219" s="6">
        <v>0</v>
      </c>
      <c r="G219" s="6">
        <v>1971.8240000000001</v>
      </c>
      <c r="H219" s="6">
        <v>5920.9840000000004</v>
      </c>
      <c r="I219" s="6">
        <v>4089.9119999999998</v>
      </c>
      <c r="J219" s="6">
        <v>162.76</v>
      </c>
      <c r="K219" s="6">
        <v>685.34699999999998</v>
      </c>
      <c r="L219" s="6">
        <v>530.80100000000004</v>
      </c>
      <c r="M219" s="6">
        <v>0</v>
      </c>
      <c r="N219" s="7">
        <f t="shared" si="13"/>
        <v>17799.824000000001</v>
      </c>
      <c r="O219" s="7">
        <f>N219+'59a'!G220+'59a'!P220</f>
        <v>79031.558999999994</v>
      </c>
    </row>
    <row r="220" spans="2:15" s="8" customFormat="1" ht="34.9" hidden="1" customHeight="1">
      <c r="B220" s="15">
        <v>44136</v>
      </c>
      <c r="C220" s="10">
        <v>730.73699999999997</v>
      </c>
      <c r="D220" s="10">
        <v>4266.7870000000003</v>
      </c>
      <c r="E220" s="10">
        <v>0</v>
      </c>
      <c r="F220" s="10">
        <v>0</v>
      </c>
      <c r="G220" s="10">
        <v>899.51599999999996</v>
      </c>
      <c r="H220" s="10">
        <v>7413.2560000000003</v>
      </c>
      <c r="I220" s="10">
        <v>7536.35</v>
      </c>
      <c r="J220" s="10">
        <v>488.13400000000001</v>
      </c>
      <c r="K220" s="10">
        <v>294.55799999999999</v>
      </c>
      <c r="L220" s="10">
        <v>8.24</v>
      </c>
      <c r="M220" s="10">
        <v>0</v>
      </c>
      <c r="N220" s="11">
        <f t="shared" si="13"/>
        <v>21637.578000000001</v>
      </c>
      <c r="O220" s="11">
        <f>N220+'59a'!G221+'59a'!P221</f>
        <v>77529.623999999996</v>
      </c>
    </row>
    <row r="221" spans="2:15" s="8" customFormat="1" ht="34.9" hidden="1" customHeight="1">
      <c r="B221" s="14">
        <v>44166</v>
      </c>
      <c r="C221" s="6">
        <v>681.84699999999998</v>
      </c>
      <c r="D221" s="6">
        <v>8696.6180000000004</v>
      </c>
      <c r="E221" s="6">
        <v>0</v>
      </c>
      <c r="F221" s="6">
        <v>0</v>
      </c>
      <c r="G221" s="6">
        <v>2074.0210000000002</v>
      </c>
      <c r="H221" s="6">
        <v>6937.3639999999996</v>
      </c>
      <c r="I221" s="6">
        <v>9495.9619999999995</v>
      </c>
      <c r="J221" s="6">
        <v>209.17699999999999</v>
      </c>
      <c r="K221" s="6">
        <v>533.01499999999999</v>
      </c>
      <c r="L221" s="6">
        <v>18.542999999999999</v>
      </c>
      <c r="M221" s="6">
        <v>0</v>
      </c>
      <c r="N221" s="7">
        <f t="shared" si="13"/>
        <v>28646.546999999999</v>
      </c>
      <c r="O221" s="7">
        <f>N221+'59a'!G222+'59a'!P222</f>
        <v>181202.35499999998</v>
      </c>
    </row>
    <row r="222" spans="2:15" s="8" customFormat="1" ht="34.9" hidden="1" customHeight="1">
      <c r="B222" s="3">
        <v>2021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3"/>
      <c r="O222" s="13"/>
    </row>
    <row r="223" spans="2:15" s="8" customFormat="1" ht="34.9" hidden="1" customHeight="1">
      <c r="B223" s="14">
        <v>44197</v>
      </c>
      <c r="C223" s="6">
        <v>202.51499999999999</v>
      </c>
      <c r="D223" s="6">
        <v>3202.864</v>
      </c>
      <c r="E223" s="6">
        <v>0</v>
      </c>
      <c r="F223" s="6">
        <v>0</v>
      </c>
      <c r="G223" s="6">
        <v>2016.529</v>
      </c>
      <c r="H223" s="6">
        <v>9045.0990000000002</v>
      </c>
      <c r="I223" s="6">
        <v>12294.492</v>
      </c>
      <c r="J223" s="6">
        <v>775.79600000000005</v>
      </c>
      <c r="K223" s="6">
        <v>1643.145</v>
      </c>
      <c r="L223" s="6">
        <v>644.81600000000003</v>
      </c>
      <c r="M223" s="6">
        <v>0</v>
      </c>
      <c r="N223" s="7">
        <f t="shared" ref="N223:N234" si="14">SUM(C223:M223)</f>
        <v>29825.255999999998</v>
      </c>
      <c r="O223" s="7">
        <f>N223+'59a'!G224+'59a'!P224</f>
        <v>212089.50499999998</v>
      </c>
    </row>
    <row r="224" spans="2:15" s="8" customFormat="1" ht="34.9" hidden="1" customHeight="1">
      <c r="B224" s="15">
        <v>44228</v>
      </c>
      <c r="C224" s="10">
        <v>1531.21</v>
      </c>
      <c r="D224" s="10">
        <v>2070.2330000000002</v>
      </c>
      <c r="E224" s="10">
        <v>0</v>
      </c>
      <c r="F224" s="10">
        <v>0</v>
      </c>
      <c r="G224" s="10">
        <v>3443.346</v>
      </c>
      <c r="H224" s="10">
        <v>3807.1680000000001</v>
      </c>
      <c r="I224" s="10">
        <v>22312.829000000002</v>
      </c>
      <c r="J224" s="10">
        <v>1000.378</v>
      </c>
      <c r="K224" s="10">
        <v>1173.634</v>
      </c>
      <c r="L224" s="10">
        <v>462.59899999999999</v>
      </c>
      <c r="M224" s="10">
        <v>0</v>
      </c>
      <c r="N224" s="11">
        <f t="shared" si="14"/>
        <v>35801.396999999997</v>
      </c>
      <c r="O224" s="11">
        <f>N224+'59a'!G225+'59a'!P225</f>
        <v>136405.37099999998</v>
      </c>
    </row>
    <row r="225" spans="2:15" s="8" customFormat="1" ht="34.9" hidden="1" customHeight="1">
      <c r="B225" s="14">
        <v>44256</v>
      </c>
      <c r="C225" s="6">
        <v>5844.6559999999999</v>
      </c>
      <c r="D225" s="6">
        <v>4740.0659999999998</v>
      </c>
      <c r="E225" s="6">
        <v>0</v>
      </c>
      <c r="F225" s="6">
        <v>0</v>
      </c>
      <c r="G225" s="6">
        <v>10913.165999999999</v>
      </c>
      <c r="H225" s="6">
        <v>2862.527</v>
      </c>
      <c r="I225" s="6">
        <v>32672.203000000001</v>
      </c>
      <c r="J225" s="6">
        <v>572.95799999999997</v>
      </c>
      <c r="K225" s="6">
        <v>357.38900000000001</v>
      </c>
      <c r="L225" s="6">
        <v>609.16700000000003</v>
      </c>
      <c r="M225" s="6">
        <v>0</v>
      </c>
      <c r="N225" s="7">
        <f t="shared" si="14"/>
        <v>58572.132000000005</v>
      </c>
      <c r="O225" s="7">
        <f>N225+'59a'!G226+'59a'!P226</f>
        <v>177078.598</v>
      </c>
    </row>
    <row r="226" spans="2:15" s="8" customFormat="1" ht="34.9" hidden="1" customHeight="1">
      <c r="B226" s="15">
        <v>44287</v>
      </c>
      <c r="C226" s="10">
        <v>1595.13</v>
      </c>
      <c r="D226" s="10">
        <v>814.00599999999997</v>
      </c>
      <c r="E226" s="10">
        <v>0</v>
      </c>
      <c r="F226" s="10">
        <v>0</v>
      </c>
      <c r="G226" s="10">
        <v>893.45299999999997</v>
      </c>
      <c r="H226" s="10">
        <v>1790.5540000000001</v>
      </c>
      <c r="I226" s="10">
        <v>27623.210999999999</v>
      </c>
      <c r="J226" s="10">
        <v>926.17399999999998</v>
      </c>
      <c r="K226" s="10">
        <v>3127.6770000000001</v>
      </c>
      <c r="L226" s="10">
        <v>10.867000000000001</v>
      </c>
      <c r="M226" s="10">
        <v>0</v>
      </c>
      <c r="N226" s="11">
        <f t="shared" si="14"/>
        <v>36781.072</v>
      </c>
      <c r="O226" s="11">
        <f>N226+'59a'!G227+'59a'!P227</f>
        <v>132842.09600000002</v>
      </c>
    </row>
    <row r="227" spans="2:15" s="8" customFormat="1" ht="34.9" hidden="1" customHeight="1">
      <c r="B227" s="14">
        <v>44317</v>
      </c>
      <c r="C227" s="6">
        <v>3741.7620000000002</v>
      </c>
      <c r="D227" s="6">
        <v>771.84</v>
      </c>
      <c r="E227" s="6">
        <v>0</v>
      </c>
      <c r="F227" s="6">
        <v>0</v>
      </c>
      <c r="G227" s="6">
        <v>3126.28</v>
      </c>
      <c r="H227" s="6">
        <v>1721.42</v>
      </c>
      <c r="I227" s="6">
        <v>40154.519</v>
      </c>
      <c r="J227" s="6">
        <v>998.00900000000001</v>
      </c>
      <c r="K227" s="6">
        <v>3875.5059999999999</v>
      </c>
      <c r="L227" s="6">
        <v>65.531000000000006</v>
      </c>
      <c r="M227" s="6">
        <v>0</v>
      </c>
      <c r="N227" s="7">
        <f t="shared" si="14"/>
        <v>54454.866999999998</v>
      </c>
      <c r="O227" s="7">
        <f>N227+'59a'!G228+'59a'!P228</f>
        <v>209741.75699999998</v>
      </c>
    </row>
    <row r="228" spans="2:15" s="8" customFormat="1" ht="34.9" hidden="1" customHeight="1">
      <c r="B228" s="15">
        <v>44348</v>
      </c>
      <c r="C228" s="10">
        <v>1001.431</v>
      </c>
      <c r="D228" s="10">
        <v>481.84300000000002</v>
      </c>
      <c r="E228" s="10">
        <v>0</v>
      </c>
      <c r="F228" s="10">
        <v>0</v>
      </c>
      <c r="G228" s="10">
        <v>3032.7869999999998</v>
      </c>
      <c r="H228" s="10">
        <v>1562.972</v>
      </c>
      <c r="I228" s="10">
        <v>72561.152000000002</v>
      </c>
      <c r="J228" s="10">
        <v>1969.998</v>
      </c>
      <c r="K228" s="10">
        <v>1403.7840000000001</v>
      </c>
      <c r="L228" s="10">
        <v>62.427</v>
      </c>
      <c r="M228" s="10">
        <v>0</v>
      </c>
      <c r="N228" s="11">
        <f t="shared" si="14"/>
        <v>82076.394</v>
      </c>
      <c r="O228" s="11">
        <f>N228+'59a'!G229+'59a'!P229</f>
        <v>260932.91800000001</v>
      </c>
    </row>
    <row r="229" spans="2:15" s="8" customFormat="1" ht="34.9" hidden="1" customHeight="1">
      <c r="B229" s="14">
        <v>44378</v>
      </c>
      <c r="C229" s="6">
        <v>1066.9670000000001</v>
      </c>
      <c r="D229" s="6">
        <v>560.21</v>
      </c>
      <c r="E229" s="6">
        <v>0</v>
      </c>
      <c r="F229" s="6">
        <v>0</v>
      </c>
      <c r="G229" s="6">
        <v>2767.4160000000002</v>
      </c>
      <c r="H229" s="6">
        <v>698.43499999999995</v>
      </c>
      <c r="I229" s="6">
        <v>29160.203000000001</v>
      </c>
      <c r="J229" s="6">
        <v>738.75900000000001</v>
      </c>
      <c r="K229" s="6">
        <v>569.49800000000005</v>
      </c>
      <c r="L229" s="6">
        <v>57.945</v>
      </c>
      <c r="M229" s="6">
        <v>0</v>
      </c>
      <c r="N229" s="7">
        <f t="shared" si="14"/>
        <v>35619.432999999997</v>
      </c>
      <c r="O229" s="7">
        <f>N229+'59a'!G230+'59a'!P230</f>
        <v>124327.64899999999</v>
      </c>
    </row>
    <row r="230" spans="2:15" s="8" customFormat="1" ht="34.9" hidden="1" customHeight="1">
      <c r="B230" s="15">
        <v>44409</v>
      </c>
      <c r="C230" s="10">
        <v>892.976</v>
      </c>
      <c r="D230" s="10">
        <v>802.76400000000001</v>
      </c>
      <c r="E230" s="10">
        <v>0</v>
      </c>
      <c r="F230" s="10">
        <v>0</v>
      </c>
      <c r="G230" s="10">
        <v>4105.2269999999999</v>
      </c>
      <c r="H230" s="10">
        <v>1467.268</v>
      </c>
      <c r="I230" s="10">
        <v>31233.579000000002</v>
      </c>
      <c r="J230" s="10">
        <v>512.86400000000003</v>
      </c>
      <c r="K230" s="10">
        <v>620.03599999999994</v>
      </c>
      <c r="L230" s="10">
        <v>53.99</v>
      </c>
      <c r="M230" s="10">
        <v>0</v>
      </c>
      <c r="N230" s="11">
        <f t="shared" si="14"/>
        <v>39688.703999999998</v>
      </c>
      <c r="O230" s="11">
        <f>N230+'59a'!G231+'59a'!P231</f>
        <v>137653.38</v>
      </c>
    </row>
    <row r="231" spans="2:15" s="8" customFormat="1" ht="34.9" hidden="1" customHeight="1">
      <c r="B231" s="14">
        <v>44440</v>
      </c>
      <c r="C231" s="6">
        <v>620.12800000000004</v>
      </c>
      <c r="D231" s="6">
        <v>2474.9659999999999</v>
      </c>
      <c r="E231" s="6">
        <v>0</v>
      </c>
      <c r="F231" s="6">
        <v>0</v>
      </c>
      <c r="G231" s="6">
        <v>5771.4059999999999</v>
      </c>
      <c r="H231" s="6">
        <v>1657.942</v>
      </c>
      <c r="I231" s="6">
        <v>21579.332999999999</v>
      </c>
      <c r="J231" s="6">
        <v>365.87</v>
      </c>
      <c r="K231" s="6">
        <v>602.94200000000001</v>
      </c>
      <c r="L231" s="6">
        <v>32.779000000000003</v>
      </c>
      <c r="M231" s="6">
        <v>0</v>
      </c>
      <c r="N231" s="7">
        <f t="shared" si="14"/>
        <v>33105.366000000002</v>
      </c>
      <c r="O231" s="7">
        <f>N231+'59a'!G232+'59a'!P232</f>
        <v>157381.174</v>
      </c>
    </row>
    <row r="232" spans="2:15" s="8" customFormat="1" ht="34.9" hidden="1" customHeight="1">
      <c r="B232" s="15">
        <v>44470</v>
      </c>
      <c r="C232" s="10">
        <v>229.08699999999999</v>
      </c>
      <c r="D232" s="10">
        <v>1664.0070000000001</v>
      </c>
      <c r="E232" s="10">
        <v>0</v>
      </c>
      <c r="F232" s="10">
        <v>0</v>
      </c>
      <c r="G232" s="10">
        <v>5469.8440000000001</v>
      </c>
      <c r="H232" s="10">
        <v>985.95699999999999</v>
      </c>
      <c r="I232" s="10">
        <v>20013.553</v>
      </c>
      <c r="J232" s="10">
        <v>1206.5509999999999</v>
      </c>
      <c r="K232" s="10">
        <v>342.43900000000002</v>
      </c>
      <c r="L232" s="10">
        <v>36.712000000000003</v>
      </c>
      <c r="M232" s="10">
        <v>0</v>
      </c>
      <c r="N232" s="11">
        <f t="shared" si="14"/>
        <v>29948.149999999998</v>
      </c>
      <c r="O232" s="11">
        <f>N232+'59a'!G233+'59a'!P233</f>
        <v>122657.503</v>
      </c>
    </row>
    <row r="233" spans="2:15" s="8" customFormat="1" ht="34.9" hidden="1" customHeight="1">
      <c r="B233" s="14">
        <v>44501</v>
      </c>
      <c r="C233" s="6">
        <v>4695.527</v>
      </c>
      <c r="D233" s="6">
        <v>2386.2339999999999</v>
      </c>
      <c r="E233" s="6">
        <v>0</v>
      </c>
      <c r="F233" s="6">
        <v>0</v>
      </c>
      <c r="G233" s="6">
        <v>3937.2379999999998</v>
      </c>
      <c r="H233" s="6">
        <v>2059.8040000000001</v>
      </c>
      <c r="I233" s="6">
        <v>13669.288</v>
      </c>
      <c r="J233" s="6">
        <v>5074.6639999999998</v>
      </c>
      <c r="K233" s="6">
        <v>544.19600000000003</v>
      </c>
      <c r="L233" s="6">
        <v>22.024999999999999</v>
      </c>
      <c r="M233" s="6">
        <v>0</v>
      </c>
      <c r="N233" s="7">
        <f t="shared" si="14"/>
        <v>32388.976000000002</v>
      </c>
      <c r="O233" s="7">
        <f>N233+'59a'!G234+'59a'!P234</f>
        <v>133842.18</v>
      </c>
    </row>
    <row r="234" spans="2:15" s="8" customFormat="1" ht="34.9" hidden="1" customHeight="1">
      <c r="B234" s="15">
        <v>44531</v>
      </c>
      <c r="C234" s="10">
        <v>6253.9669999999996</v>
      </c>
      <c r="D234" s="10">
        <v>1848.2</v>
      </c>
      <c r="E234" s="10">
        <v>0</v>
      </c>
      <c r="F234" s="10">
        <v>0</v>
      </c>
      <c r="G234" s="10">
        <v>3000.8130000000001</v>
      </c>
      <c r="H234" s="10">
        <v>1231.3969999999999</v>
      </c>
      <c r="I234" s="10">
        <v>11384.763000000001</v>
      </c>
      <c r="J234" s="10">
        <v>3185.92</v>
      </c>
      <c r="K234" s="10">
        <v>675.74</v>
      </c>
      <c r="L234" s="10">
        <v>16.558</v>
      </c>
      <c r="M234" s="10">
        <v>0</v>
      </c>
      <c r="N234" s="11">
        <f t="shared" si="14"/>
        <v>27597.358</v>
      </c>
      <c r="O234" s="11">
        <f>N234+'59a'!G235+'59a'!P235</f>
        <v>158644.40600000002</v>
      </c>
    </row>
    <row r="235" spans="2:15" s="8" customFormat="1" ht="34.9" hidden="1" customHeight="1">
      <c r="B235" s="3">
        <v>2022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3"/>
    </row>
    <row r="236" spans="2:15" s="8" customFormat="1" ht="34.9" hidden="1" customHeight="1">
      <c r="B236" s="14">
        <v>44562</v>
      </c>
      <c r="C236" s="6">
        <v>270.26600000000002</v>
      </c>
      <c r="D236" s="6">
        <v>1414.143</v>
      </c>
      <c r="E236" s="6">
        <v>0</v>
      </c>
      <c r="F236" s="6">
        <v>0</v>
      </c>
      <c r="G236" s="6">
        <v>2010.0709999999999</v>
      </c>
      <c r="H236" s="6">
        <v>543.83299999999997</v>
      </c>
      <c r="I236" s="6">
        <v>11645.416999999999</v>
      </c>
      <c r="J236" s="6">
        <v>2019.001</v>
      </c>
      <c r="K236" s="6">
        <v>423.28399999999999</v>
      </c>
      <c r="L236" s="6">
        <v>25.692</v>
      </c>
      <c r="M236" s="6">
        <v>0</v>
      </c>
      <c r="N236" s="7">
        <f t="shared" ref="N236:N247" si="15">SUM(C236:M236)</f>
        <v>18351.706999999999</v>
      </c>
      <c r="O236" s="7">
        <f>N236+'59a'!P237+'59a'!G237</f>
        <v>111585.269</v>
      </c>
    </row>
    <row r="237" spans="2:15" s="8" customFormat="1" ht="34.9" hidden="1" customHeight="1">
      <c r="B237" s="15">
        <v>44593</v>
      </c>
      <c r="C237" s="10">
        <v>142.72399999999999</v>
      </c>
      <c r="D237" s="10">
        <v>667.69799999999998</v>
      </c>
      <c r="E237" s="10">
        <v>0</v>
      </c>
      <c r="F237" s="10">
        <v>0</v>
      </c>
      <c r="G237" s="10">
        <v>715.98699999999997</v>
      </c>
      <c r="H237" s="10">
        <v>419.447</v>
      </c>
      <c r="I237" s="10">
        <v>15071</v>
      </c>
      <c r="J237" s="10">
        <v>1151.925</v>
      </c>
      <c r="K237" s="10">
        <v>449.09</v>
      </c>
      <c r="L237" s="10">
        <v>17.777000000000001</v>
      </c>
      <c r="M237" s="10">
        <v>0</v>
      </c>
      <c r="N237" s="11">
        <f t="shared" si="15"/>
        <v>18635.647999999997</v>
      </c>
      <c r="O237" s="11">
        <f>N237+'59a'!P238+'59a'!G238</f>
        <v>114835.41299999999</v>
      </c>
    </row>
    <row r="238" spans="2:15" s="8" customFormat="1" ht="34.9" hidden="1" customHeight="1">
      <c r="B238" s="14">
        <v>44621</v>
      </c>
      <c r="C238" s="6">
        <v>375.29500000000002</v>
      </c>
      <c r="D238" s="6">
        <v>816.351</v>
      </c>
      <c r="E238" s="6">
        <v>0</v>
      </c>
      <c r="F238" s="6">
        <v>0</v>
      </c>
      <c r="G238" s="6">
        <v>9671.1309999999994</v>
      </c>
      <c r="H238" s="6">
        <v>408.29300000000001</v>
      </c>
      <c r="I238" s="6">
        <v>46898.86</v>
      </c>
      <c r="J238" s="6">
        <v>1063.4349999999999</v>
      </c>
      <c r="K238" s="6">
        <v>260.77499999999998</v>
      </c>
      <c r="L238" s="6">
        <v>23.683</v>
      </c>
      <c r="M238" s="6">
        <v>0</v>
      </c>
      <c r="N238" s="7">
        <f t="shared" si="15"/>
        <v>59517.822999999997</v>
      </c>
      <c r="O238" s="7">
        <f>N238+'59a'!P239+'59a'!G239</f>
        <v>160527.36299999998</v>
      </c>
    </row>
    <row r="239" spans="2:15" s="8" customFormat="1" ht="34.9" hidden="1" customHeight="1">
      <c r="B239" s="15">
        <v>44652</v>
      </c>
      <c r="C239" s="10">
        <v>256.56700000000001</v>
      </c>
      <c r="D239" s="10">
        <v>389.24900000000002</v>
      </c>
      <c r="E239" s="10">
        <v>0</v>
      </c>
      <c r="F239" s="10">
        <v>0</v>
      </c>
      <c r="G239" s="10">
        <v>945.21400000000006</v>
      </c>
      <c r="H239" s="10">
        <v>1.2509999999999999</v>
      </c>
      <c r="I239" s="10">
        <v>68185.364000000001</v>
      </c>
      <c r="J239" s="10">
        <v>1812.4580000000001</v>
      </c>
      <c r="K239" s="10">
        <v>437.68099999999998</v>
      </c>
      <c r="L239" s="10">
        <v>13.048999999999999</v>
      </c>
      <c r="M239" s="10">
        <v>0</v>
      </c>
      <c r="N239" s="11">
        <f t="shared" si="15"/>
        <v>72040.832999999999</v>
      </c>
      <c r="O239" s="11">
        <f>N239+'59a'!P240+'59a'!G240</f>
        <v>176498.16399999999</v>
      </c>
    </row>
    <row r="240" spans="2:15" s="8" customFormat="1" ht="34.9" hidden="1" customHeight="1">
      <c r="B240" s="14">
        <v>44682</v>
      </c>
      <c r="C240" s="6">
        <v>230.13</v>
      </c>
      <c r="D240" s="6">
        <v>365.88299999999998</v>
      </c>
      <c r="E240" s="6">
        <v>0</v>
      </c>
      <c r="F240" s="6">
        <v>0</v>
      </c>
      <c r="G240" s="6">
        <v>4555.268</v>
      </c>
      <c r="H240" s="6">
        <v>15.715999999999999</v>
      </c>
      <c r="I240" s="6">
        <v>40705.536</v>
      </c>
      <c r="J240" s="6">
        <v>1522.3330000000001</v>
      </c>
      <c r="K240" s="6">
        <v>316.07299999999998</v>
      </c>
      <c r="L240" s="6">
        <v>29.234999999999999</v>
      </c>
      <c r="M240" s="6">
        <v>0</v>
      </c>
      <c r="N240" s="7">
        <f t="shared" si="15"/>
        <v>47740.173999999999</v>
      </c>
      <c r="O240" s="7">
        <f>N240+'59a'!P241+'59a'!G241</f>
        <v>178724.97700000001</v>
      </c>
    </row>
    <row r="241" spans="2:15" s="8" customFormat="1" ht="34.9" hidden="1" customHeight="1">
      <c r="B241" s="15">
        <v>44713</v>
      </c>
      <c r="C241" s="10">
        <v>225.011</v>
      </c>
      <c r="D241" s="10">
        <v>1024.5050000000001</v>
      </c>
      <c r="E241" s="10">
        <v>0</v>
      </c>
      <c r="F241" s="10">
        <v>0</v>
      </c>
      <c r="G241" s="10">
        <v>4717.0649999999996</v>
      </c>
      <c r="H241" s="10">
        <v>805.76800000000003</v>
      </c>
      <c r="I241" s="10">
        <v>35045.275000000001</v>
      </c>
      <c r="J241" s="10">
        <v>3927.5219999999999</v>
      </c>
      <c r="K241" s="10">
        <v>188.31200000000001</v>
      </c>
      <c r="L241" s="10">
        <v>7.91</v>
      </c>
      <c r="M241" s="10">
        <v>0</v>
      </c>
      <c r="N241" s="11">
        <f t="shared" si="15"/>
        <v>45941.368000000002</v>
      </c>
      <c r="O241" s="11">
        <f>N241+'59a'!P242+'59a'!G242</f>
        <v>228209.47700000001</v>
      </c>
    </row>
    <row r="242" spans="2:15" s="8" customFormat="1" ht="34.9" hidden="1" customHeight="1">
      <c r="B242" s="14">
        <v>44743</v>
      </c>
      <c r="C242" s="6">
        <v>1576.4860000000001</v>
      </c>
      <c r="D242" s="6">
        <v>424.10599999999999</v>
      </c>
      <c r="E242" s="6">
        <v>0</v>
      </c>
      <c r="F242" s="6">
        <v>0</v>
      </c>
      <c r="G242" s="6">
        <v>1935.0740000000001</v>
      </c>
      <c r="H242" s="6">
        <v>305.20100000000002</v>
      </c>
      <c r="I242" s="6">
        <v>27042.138999999999</v>
      </c>
      <c r="J242" s="6">
        <v>1940.1569999999999</v>
      </c>
      <c r="K242" s="6">
        <v>147.94499999999999</v>
      </c>
      <c r="L242" s="6">
        <v>131.29</v>
      </c>
      <c r="M242" s="6">
        <v>0</v>
      </c>
      <c r="N242" s="7">
        <f t="shared" si="15"/>
        <v>33502.398000000001</v>
      </c>
      <c r="O242" s="7">
        <f>N242+'59a'!P243+'59a'!G243</f>
        <v>181357.27000000002</v>
      </c>
    </row>
    <row r="243" spans="2:15" s="8" customFormat="1" ht="34.9" hidden="1" customHeight="1">
      <c r="B243" s="15">
        <v>44774</v>
      </c>
      <c r="C243" s="10">
        <v>512.30899999999997</v>
      </c>
      <c r="D243" s="10">
        <v>697.62099999999998</v>
      </c>
      <c r="E243" s="10">
        <v>0</v>
      </c>
      <c r="F243" s="10">
        <v>0</v>
      </c>
      <c r="G243" s="10">
        <v>2420.145</v>
      </c>
      <c r="H243" s="10">
        <v>323.553</v>
      </c>
      <c r="I243" s="10">
        <v>39654.582999999999</v>
      </c>
      <c r="J243" s="10">
        <v>2789.9690000000001</v>
      </c>
      <c r="K243" s="10">
        <v>148.13</v>
      </c>
      <c r="L243" s="10">
        <v>52.665999999999997</v>
      </c>
      <c r="M243" s="10">
        <v>0</v>
      </c>
      <c r="N243" s="11">
        <f t="shared" si="15"/>
        <v>46598.975999999988</v>
      </c>
      <c r="O243" s="11">
        <f>N243+'59a'!P244+'59a'!G244</f>
        <v>294567.02399999998</v>
      </c>
    </row>
    <row r="244" spans="2:15" s="8" customFormat="1" ht="34.9" hidden="1" customHeight="1">
      <c r="B244" s="14">
        <v>44805</v>
      </c>
      <c r="C244" s="6">
        <v>206.523</v>
      </c>
      <c r="D244" s="6">
        <v>641.50199999999995</v>
      </c>
      <c r="E244" s="6">
        <v>0</v>
      </c>
      <c r="F244" s="6">
        <v>0</v>
      </c>
      <c r="G244" s="6">
        <v>1572.105</v>
      </c>
      <c r="H244" s="6">
        <v>319.31700000000001</v>
      </c>
      <c r="I244" s="6">
        <v>20292.580000000002</v>
      </c>
      <c r="J244" s="6">
        <v>1427.37</v>
      </c>
      <c r="K244" s="6">
        <v>72.638000000000005</v>
      </c>
      <c r="L244" s="6">
        <v>43.896999999999998</v>
      </c>
      <c r="M244" s="6">
        <v>0</v>
      </c>
      <c r="N244" s="7">
        <f t="shared" si="15"/>
        <v>24575.932000000001</v>
      </c>
      <c r="O244" s="7">
        <f>N244+'59a'!P245+'59a'!G245</f>
        <v>121785.13400000001</v>
      </c>
    </row>
    <row r="245" spans="2:15" s="8" customFormat="1" ht="34.9" hidden="1" customHeight="1">
      <c r="B245" s="15">
        <v>44835</v>
      </c>
      <c r="C245" s="10">
        <v>296.95600000000002</v>
      </c>
      <c r="D245" s="10">
        <v>443.06</v>
      </c>
      <c r="E245" s="10">
        <v>0</v>
      </c>
      <c r="F245" s="10">
        <v>0</v>
      </c>
      <c r="G245" s="10">
        <v>1849.2339999999999</v>
      </c>
      <c r="H245" s="10">
        <v>208.64500000000001</v>
      </c>
      <c r="I245" s="10">
        <v>18331.065999999999</v>
      </c>
      <c r="J245" s="10">
        <v>3494.1959999999999</v>
      </c>
      <c r="K245" s="10">
        <v>50.328000000000003</v>
      </c>
      <c r="L245" s="10">
        <v>4.3620000000000001</v>
      </c>
      <c r="M245" s="10">
        <v>0</v>
      </c>
      <c r="N245" s="11">
        <f t="shared" si="15"/>
        <v>24677.847000000002</v>
      </c>
      <c r="O245" s="11">
        <f>N245+'59a'!P246+'59a'!G246</f>
        <v>125212.493</v>
      </c>
    </row>
    <row r="246" spans="2:15" s="8" customFormat="1" ht="34.9" hidden="1" customHeight="1">
      <c r="B246" s="14">
        <v>44866</v>
      </c>
      <c r="C246" s="6">
        <v>278.77</v>
      </c>
      <c r="D246" s="6">
        <v>305.50299999999999</v>
      </c>
      <c r="E246" s="6">
        <v>0</v>
      </c>
      <c r="F246" s="6">
        <v>0</v>
      </c>
      <c r="G246" s="6">
        <v>7482.4189999999999</v>
      </c>
      <c r="H246" s="6">
        <v>92.811999999999998</v>
      </c>
      <c r="I246" s="6">
        <v>16057.187</v>
      </c>
      <c r="J246" s="6">
        <v>3600.4969999999998</v>
      </c>
      <c r="K246" s="6">
        <v>142.429</v>
      </c>
      <c r="L246" s="6">
        <v>18.334</v>
      </c>
      <c r="M246" s="6">
        <v>0</v>
      </c>
      <c r="N246" s="7">
        <f t="shared" si="15"/>
        <v>27977.950999999997</v>
      </c>
      <c r="O246" s="7">
        <f>N246+'59a'!P247+'59a'!G247</f>
        <v>118132.76199999999</v>
      </c>
    </row>
    <row r="247" spans="2:15" s="8" customFormat="1" ht="34.9" hidden="1" customHeight="1">
      <c r="B247" s="15">
        <v>44896</v>
      </c>
      <c r="C247" s="10">
        <v>255.03899999999999</v>
      </c>
      <c r="D247" s="10">
        <v>127.85299999999999</v>
      </c>
      <c r="E247" s="10">
        <v>0</v>
      </c>
      <c r="F247" s="10">
        <v>0</v>
      </c>
      <c r="G247" s="10">
        <v>8498.5360000000001</v>
      </c>
      <c r="H247" s="10">
        <v>115.304</v>
      </c>
      <c r="I247" s="10">
        <v>13596.192999999999</v>
      </c>
      <c r="J247" s="10">
        <v>3793.9929999999999</v>
      </c>
      <c r="K247" s="10">
        <v>59.463999999999999</v>
      </c>
      <c r="L247" s="10">
        <v>7.0869999999999997</v>
      </c>
      <c r="M247" s="10">
        <v>0</v>
      </c>
      <c r="N247" s="11">
        <f t="shared" si="15"/>
        <v>26453.468999999997</v>
      </c>
      <c r="O247" s="11">
        <f>N247+'59a'!P248+'59a'!G248</f>
        <v>92271.263999999996</v>
      </c>
    </row>
    <row r="248" spans="2:15" s="8" customFormat="1" ht="33" hidden="1" customHeight="1">
      <c r="B248" s="3">
        <v>2023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3"/>
      <c r="O248" s="13"/>
    </row>
    <row r="249" spans="2:15" s="8" customFormat="1" ht="34.9" hidden="1" customHeight="1">
      <c r="B249" s="14">
        <v>44927</v>
      </c>
      <c r="C249" s="6">
        <v>371.971</v>
      </c>
      <c r="D249" s="6">
        <v>312.81599999999997</v>
      </c>
      <c r="E249" s="6">
        <v>0</v>
      </c>
      <c r="F249" s="6">
        <v>0</v>
      </c>
      <c r="G249" s="6">
        <v>12900.1</v>
      </c>
      <c r="H249" s="6">
        <v>189.488</v>
      </c>
      <c r="I249" s="6">
        <v>40137.264000000003</v>
      </c>
      <c r="J249" s="6">
        <v>4340.9669999999996</v>
      </c>
      <c r="K249" s="6">
        <v>113.28700000000001</v>
      </c>
      <c r="L249" s="6">
        <v>25.085999999999999</v>
      </c>
      <c r="M249" s="6">
        <v>0</v>
      </c>
      <c r="N249" s="7">
        <f t="shared" ref="N249:N262" si="16">SUM(C249:M249)</f>
        <v>58390.978999999999</v>
      </c>
      <c r="O249" s="7">
        <f>N249+'59a'!P250+'59a'!G250</f>
        <v>189749.77599999998</v>
      </c>
    </row>
    <row r="250" spans="2:15" s="8" customFormat="1" ht="34.9" hidden="1" customHeight="1">
      <c r="B250" s="15">
        <v>44958</v>
      </c>
      <c r="C250" s="10">
        <v>613.48</v>
      </c>
      <c r="D250" s="10">
        <v>531.67899999999997</v>
      </c>
      <c r="E250" s="10">
        <v>0</v>
      </c>
      <c r="F250" s="10">
        <v>0</v>
      </c>
      <c r="G250" s="10">
        <v>5796.3159999999998</v>
      </c>
      <c r="H250" s="10">
        <v>1336.5509999999999</v>
      </c>
      <c r="I250" s="10">
        <v>49020.26</v>
      </c>
      <c r="J250" s="10">
        <v>4029.904</v>
      </c>
      <c r="K250" s="10">
        <v>310.30399999999997</v>
      </c>
      <c r="L250" s="10">
        <v>20.626999999999999</v>
      </c>
      <c r="M250" s="10">
        <v>0</v>
      </c>
      <c r="N250" s="11">
        <f t="shared" si="16"/>
        <v>61659.120999999999</v>
      </c>
      <c r="O250" s="11">
        <f>N250+'59a'!P251+'59a'!G251</f>
        <v>184324.86200000002</v>
      </c>
    </row>
    <row r="251" spans="2:15" s="8" customFormat="1" ht="34.9" hidden="1" customHeight="1">
      <c r="B251" s="14">
        <v>44986</v>
      </c>
      <c r="C251" s="6">
        <v>279.327</v>
      </c>
      <c r="D251" s="6">
        <v>534.72500000000002</v>
      </c>
      <c r="E251" s="6">
        <v>0</v>
      </c>
      <c r="F251" s="6">
        <v>0</v>
      </c>
      <c r="G251" s="6">
        <v>5596.4049999999997</v>
      </c>
      <c r="H251" s="6">
        <v>1542.0340000000001</v>
      </c>
      <c r="I251" s="6">
        <v>42342.199000000001</v>
      </c>
      <c r="J251" s="6">
        <v>9810.6090000000004</v>
      </c>
      <c r="K251" s="6">
        <v>206.85599999999999</v>
      </c>
      <c r="L251" s="6">
        <v>34.433</v>
      </c>
      <c r="M251" s="6">
        <v>0</v>
      </c>
      <c r="N251" s="7">
        <f t="shared" si="16"/>
        <v>60346.587999999996</v>
      </c>
      <c r="O251" s="7">
        <f>N251+'59a'!P252+'59a'!G252</f>
        <v>160063.66</v>
      </c>
    </row>
    <row r="252" spans="2:15" s="8" customFormat="1" ht="34.9" hidden="1" customHeight="1">
      <c r="B252" s="15">
        <v>45017</v>
      </c>
      <c r="C252" s="10">
        <v>2135.7440000000001</v>
      </c>
      <c r="D252" s="10">
        <v>359.16</v>
      </c>
      <c r="E252" s="10">
        <v>0</v>
      </c>
      <c r="F252" s="10">
        <v>0</v>
      </c>
      <c r="G252" s="10">
        <v>4687.3270000000002</v>
      </c>
      <c r="H252" s="10">
        <v>176.54300000000001</v>
      </c>
      <c r="I252" s="10">
        <v>26839.913</v>
      </c>
      <c r="J252" s="10">
        <v>4000.299</v>
      </c>
      <c r="K252" s="10">
        <v>93.96</v>
      </c>
      <c r="L252" s="10">
        <v>13.233000000000001</v>
      </c>
      <c r="M252" s="10">
        <v>0</v>
      </c>
      <c r="N252" s="11">
        <f t="shared" si="16"/>
        <v>38306.178999999996</v>
      </c>
      <c r="O252" s="11">
        <f>N252+'59a'!P253+'59a'!G253</f>
        <v>111376.764</v>
      </c>
    </row>
    <row r="253" spans="2:15" s="8" customFormat="1" ht="34.9" hidden="1" customHeight="1">
      <c r="B253" s="14">
        <v>45047</v>
      </c>
      <c r="C253" s="6">
        <v>5795.7560000000003</v>
      </c>
      <c r="D253" s="6">
        <v>290.70499999999998</v>
      </c>
      <c r="E253" s="6">
        <v>0</v>
      </c>
      <c r="F253" s="6">
        <v>0</v>
      </c>
      <c r="G253" s="6">
        <v>4570.7809999999999</v>
      </c>
      <c r="H253" s="6">
        <v>365.30200000000002</v>
      </c>
      <c r="I253" s="6">
        <v>18430.641</v>
      </c>
      <c r="J253" s="6">
        <v>12445.084000000001</v>
      </c>
      <c r="K253" s="6">
        <v>283.036</v>
      </c>
      <c r="L253" s="6">
        <v>18.215</v>
      </c>
      <c r="M253" s="6">
        <v>0</v>
      </c>
      <c r="N253" s="7">
        <f t="shared" si="16"/>
        <v>42199.519999999997</v>
      </c>
      <c r="O253" s="7">
        <f>N253+'59a'!P254+'59a'!G254</f>
        <v>115772.742</v>
      </c>
    </row>
    <row r="254" spans="2:15" s="8" customFormat="1" ht="34.9" hidden="1" customHeight="1">
      <c r="B254" s="15">
        <v>45078</v>
      </c>
      <c r="C254" s="10">
        <v>3146.556</v>
      </c>
      <c r="D254" s="10">
        <v>434.25</v>
      </c>
      <c r="E254" s="10">
        <v>0</v>
      </c>
      <c r="F254" s="10">
        <v>0</v>
      </c>
      <c r="G254" s="10">
        <v>1485.9290000000001</v>
      </c>
      <c r="H254" s="10">
        <v>791.49</v>
      </c>
      <c r="I254" s="10">
        <v>26167.098999999998</v>
      </c>
      <c r="J254" s="10">
        <v>12542.632</v>
      </c>
      <c r="K254" s="10">
        <v>83.06</v>
      </c>
      <c r="L254" s="10">
        <v>107.498</v>
      </c>
      <c r="M254" s="10">
        <v>0</v>
      </c>
      <c r="N254" s="11">
        <f t="shared" si="16"/>
        <v>44758.513999999996</v>
      </c>
      <c r="O254" s="11">
        <f>N254+'59a'!P255+'59a'!G255</f>
        <v>102032.91499999999</v>
      </c>
    </row>
    <row r="255" spans="2:15" s="8" customFormat="1" ht="34.9" hidden="1" customHeight="1">
      <c r="B255" s="14">
        <v>45108</v>
      </c>
      <c r="C255" s="6">
        <v>1647.652</v>
      </c>
      <c r="D255" s="6">
        <v>376.73899999999998</v>
      </c>
      <c r="E255" s="6">
        <v>0</v>
      </c>
      <c r="F255" s="6">
        <v>0</v>
      </c>
      <c r="G255" s="6">
        <v>456.15100000000001</v>
      </c>
      <c r="H255" s="6">
        <v>214.11699999999999</v>
      </c>
      <c r="I255" s="6">
        <v>25365.313999999998</v>
      </c>
      <c r="J255" s="6">
        <v>7418.1580000000004</v>
      </c>
      <c r="K255" s="6">
        <v>144.358</v>
      </c>
      <c r="L255" s="6">
        <v>36.51</v>
      </c>
      <c r="M255" s="6">
        <v>0</v>
      </c>
      <c r="N255" s="7">
        <f t="shared" si="16"/>
        <v>35658.999000000003</v>
      </c>
      <c r="O255" s="7">
        <f>N255+'59a'!P256+'59a'!G256</f>
        <v>122559.86700000001</v>
      </c>
    </row>
    <row r="256" spans="2:15" s="8" customFormat="1" ht="34.9" hidden="1" customHeight="1">
      <c r="B256" s="15">
        <v>45139</v>
      </c>
      <c r="C256" s="10">
        <v>1113.7950000000001</v>
      </c>
      <c r="D256" s="10">
        <v>334.32600000000002</v>
      </c>
      <c r="E256" s="10">
        <v>0</v>
      </c>
      <c r="F256" s="10">
        <v>0</v>
      </c>
      <c r="G256" s="10">
        <v>574.41600000000005</v>
      </c>
      <c r="H256" s="10">
        <v>963.56600000000003</v>
      </c>
      <c r="I256" s="10">
        <v>19807.896000000001</v>
      </c>
      <c r="J256" s="10">
        <v>4494.7349999999997</v>
      </c>
      <c r="K256" s="10">
        <v>49.688000000000002</v>
      </c>
      <c r="L256" s="10">
        <v>23.794</v>
      </c>
      <c r="M256" s="10">
        <v>0</v>
      </c>
      <c r="N256" s="11">
        <f t="shared" si="16"/>
        <v>27362.216</v>
      </c>
      <c r="O256" s="11">
        <f>N256+'59a'!P257+'59a'!G257</f>
        <v>105898.08199999999</v>
      </c>
    </row>
    <row r="257" spans="2:15" s="8" customFormat="1" ht="34.9" hidden="1" customHeight="1">
      <c r="B257" s="14">
        <v>45170</v>
      </c>
      <c r="C257" s="6">
        <v>1074.4929999999999</v>
      </c>
      <c r="D257" s="6">
        <v>895.452</v>
      </c>
      <c r="E257" s="6">
        <v>0</v>
      </c>
      <c r="F257" s="6">
        <v>0</v>
      </c>
      <c r="G257" s="6">
        <v>1692.0250000000001</v>
      </c>
      <c r="H257" s="6">
        <v>1325.318</v>
      </c>
      <c r="I257" s="6">
        <v>7515.4210000000003</v>
      </c>
      <c r="J257" s="6">
        <v>6127.1319999999996</v>
      </c>
      <c r="K257" s="6">
        <v>244.69499999999999</v>
      </c>
      <c r="L257" s="6">
        <v>32.366</v>
      </c>
      <c r="M257" s="6">
        <v>0</v>
      </c>
      <c r="N257" s="7">
        <f t="shared" si="16"/>
        <v>18906.902000000002</v>
      </c>
      <c r="O257" s="7">
        <f>N257+'59a'!P258+'59a'!G258</f>
        <v>82772.006999999998</v>
      </c>
    </row>
    <row r="258" spans="2:15" s="8" customFormat="1" ht="34.9" hidden="1" customHeight="1">
      <c r="B258" s="15">
        <v>45200</v>
      </c>
      <c r="C258" s="10">
        <v>675.49199999999996</v>
      </c>
      <c r="D258" s="10">
        <v>988.02499999999998</v>
      </c>
      <c r="E258" s="10">
        <v>0</v>
      </c>
      <c r="F258" s="10">
        <v>0</v>
      </c>
      <c r="G258" s="10">
        <v>3414.0349999999999</v>
      </c>
      <c r="H258" s="10">
        <v>393.178</v>
      </c>
      <c r="I258" s="10">
        <v>9991.6370000000006</v>
      </c>
      <c r="J258" s="10">
        <v>19428.697</v>
      </c>
      <c r="K258" s="10">
        <v>243.12799999999999</v>
      </c>
      <c r="L258" s="10">
        <v>33.457000000000001</v>
      </c>
      <c r="M258" s="10">
        <v>0</v>
      </c>
      <c r="N258" s="11">
        <f t="shared" si="16"/>
        <v>35167.648999999998</v>
      </c>
      <c r="O258" s="11">
        <f>N258+'59a'!P259+'59a'!G259</f>
        <v>103225.15700000001</v>
      </c>
    </row>
    <row r="259" spans="2:15" s="8" customFormat="1" ht="34.9" hidden="1" customHeight="1">
      <c r="B259" s="14">
        <v>45231</v>
      </c>
      <c r="C259" s="6">
        <v>694.56899999999996</v>
      </c>
      <c r="D259" s="6">
        <v>4939.9229999999998</v>
      </c>
      <c r="E259" s="6">
        <v>0</v>
      </c>
      <c r="F259" s="6">
        <v>0</v>
      </c>
      <c r="G259" s="6">
        <v>505.255</v>
      </c>
      <c r="H259" s="6">
        <v>408.52699999999999</v>
      </c>
      <c r="I259" s="6">
        <v>6023.616</v>
      </c>
      <c r="J259" s="6">
        <v>9581.7479999999996</v>
      </c>
      <c r="K259" s="6">
        <v>160.852</v>
      </c>
      <c r="L259" s="6">
        <v>133.155</v>
      </c>
      <c r="M259" s="6">
        <v>0</v>
      </c>
      <c r="N259" s="7">
        <f t="shared" si="16"/>
        <v>22447.644999999997</v>
      </c>
      <c r="O259" s="7">
        <f>N259+'59a'!P260+'59a'!G260</f>
        <v>79786.555999999997</v>
      </c>
    </row>
    <row r="260" spans="2:15" s="8" customFormat="1" ht="34.9" hidden="1" customHeight="1">
      <c r="B260" s="60">
        <v>45261</v>
      </c>
      <c r="C260" s="61">
        <v>1558.8219999999999</v>
      </c>
      <c r="D260" s="61">
        <v>415.678</v>
      </c>
      <c r="E260" s="61">
        <v>0</v>
      </c>
      <c r="F260" s="61">
        <v>0</v>
      </c>
      <c r="G260" s="61">
        <v>567.94100000000003</v>
      </c>
      <c r="H260" s="61">
        <v>883.63699999999994</v>
      </c>
      <c r="I260" s="61">
        <v>6583.0910000000003</v>
      </c>
      <c r="J260" s="61">
        <v>11231.867</v>
      </c>
      <c r="K260" s="61">
        <v>445.64299999999997</v>
      </c>
      <c r="L260" s="61">
        <v>119.113</v>
      </c>
      <c r="M260" s="61">
        <v>0</v>
      </c>
      <c r="N260" s="62">
        <f t="shared" si="16"/>
        <v>21805.792000000001</v>
      </c>
      <c r="O260" s="62">
        <f>N260+'59a'!P261+'59a'!G261</f>
        <v>99401.228999999992</v>
      </c>
    </row>
    <row r="261" spans="2:15" s="8" customFormat="1" ht="34.5" hidden="1" customHeight="1">
      <c r="B261" s="3">
        <v>2024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3"/>
      <c r="O261" s="13"/>
    </row>
    <row r="262" spans="2:15" s="8" customFormat="1" ht="34.9" hidden="1" customHeight="1">
      <c r="B262" s="14">
        <v>45292</v>
      </c>
      <c r="C262" s="6">
        <v>734.01700000000005</v>
      </c>
      <c r="D262" s="6">
        <v>721.73</v>
      </c>
      <c r="E262" s="6">
        <v>0</v>
      </c>
      <c r="F262" s="6">
        <v>0</v>
      </c>
      <c r="G262" s="6">
        <v>274.34500000000003</v>
      </c>
      <c r="H262" s="6">
        <v>1043.1179999999999</v>
      </c>
      <c r="I262" s="6">
        <v>10310.563</v>
      </c>
      <c r="J262" s="6">
        <v>1886.48</v>
      </c>
      <c r="K262" s="6">
        <v>469.97800000000001</v>
      </c>
      <c r="L262" s="6">
        <v>23.594999999999999</v>
      </c>
      <c r="M262" s="6">
        <v>0</v>
      </c>
      <c r="N262" s="7">
        <f t="shared" si="16"/>
        <v>15463.825999999999</v>
      </c>
      <c r="O262" s="7">
        <f>N262+'59a'!P263+'59a'!G263</f>
        <v>106242.174</v>
      </c>
    </row>
    <row r="263" spans="2:15" s="8" customFormat="1" ht="34.9" hidden="1" customHeight="1">
      <c r="B263" s="15">
        <v>45323</v>
      </c>
      <c r="C263" s="10">
        <v>883.33</v>
      </c>
      <c r="D263" s="10">
        <v>522.15499999999997</v>
      </c>
      <c r="E263" s="10">
        <v>0</v>
      </c>
      <c r="F263" s="10">
        <v>0</v>
      </c>
      <c r="G263" s="10">
        <v>2000.075</v>
      </c>
      <c r="H263" s="10">
        <v>1197.2819999999999</v>
      </c>
      <c r="I263" s="10">
        <v>11780.694</v>
      </c>
      <c r="J263" s="10">
        <v>2941.8150000000001</v>
      </c>
      <c r="K263" s="10">
        <v>432.50700000000001</v>
      </c>
      <c r="L263" s="10">
        <v>27.076000000000001</v>
      </c>
      <c r="M263" s="10">
        <v>0</v>
      </c>
      <c r="N263" s="11">
        <f t="shared" ref="N263:N267" si="17">SUM(C263:M263)</f>
        <v>19784.934000000001</v>
      </c>
      <c r="O263" s="11">
        <f>N263+'59a'!P264+'59a'!G264</f>
        <v>99338.032999999996</v>
      </c>
    </row>
    <row r="264" spans="2:15" s="8" customFormat="1" ht="34.9" hidden="1" customHeight="1">
      <c r="B264" s="14">
        <v>45352</v>
      </c>
      <c r="C264" s="6">
        <v>1293.903</v>
      </c>
      <c r="D264" s="6">
        <v>369.05700000000002</v>
      </c>
      <c r="E264" s="6">
        <v>0</v>
      </c>
      <c r="F264" s="6">
        <v>0</v>
      </c>
      <c r="G264" s="6">
        <v>1167.8789999999999</v>
      </c>
      <c r="H264" s="6">
        <v>706.23500000000001</v>
      </c>
      <c r="I264" s="6">
        <v>9154.3590000000004</v>
      </c>
      <c r="J264" s="6">
        <v>1168.221</v>
      </c>
      <c r="K264" s="6">
        <v>128.93799999999999</v>
      </c>
      <c r="L264" s="6">
        <v>41.601999999999997</v>
      </c>
      <c r="M264" s="6">
        <v>0</v>
      </c>
      <c r="N264" s="7">
        <f t="shared" si="17"/>
        <v>14030.194000000001</v>
      </c>
      <c r="O264" s="7">
        <f>N264+'59a'!P265+'59a'!G265</f>
        <v>79793.5</v>
      </c>
    </row>
    <row r="265" spans="2:15" s="8" customFormat="1" ht="34.9" hidden="1" customHeight="1">
      <c r="B265" s="15">
        <v>45383</v>
      </c>
      <c r="C265" s="10">
        <v>1526.9549999999999</v>
      </c>
      <c r="D265" s="10">
        <v>523.04300000000001</v>
      </c>
      <c r="E265" s="10">
        <v>0</v>
      </c>
      <c r="F265" s="10">
        <v>0</v>
      </c>
      <c r="G265" s="10">
        <v>6395.5060000000003</v>
      </c>
      <c r="H265" s="10">
        <v>768.42200000000003</v>
      </c>
      <c r="I265" s="10">
        <v>22563.631000000001</v>
      </c>
      <c r="J265" s="10">
        <v>2977.6109999999999</v>
      </c>
      <c r="K265" s="10">
        <v>164.77600000000001</v>
      </c>
      <c r="L265" s="10">
        <v>106.108</v>
      </c>
      <c r="M265" s="10">
        <v>0</v>
      </c>
      <c r="N265" s="11">
        <f t="shared" si="17"/>
        <v>35026.051999999996</v>
      </c>
      <c r="O265" s="11">
        <f>N265+'59a'!P266+'59a'!G266</f>
        <v>96550.705999999991</v>
      </c>
    </row>
    <row r="266" spans="2:15" s="8" customFormat="1" ht="34.9" hidden="1" customHeight="1">
      <c r="B266" s="14">
        <v>45413</v>
      </c>
      <c r="C266" s="6">
        <v>404.81200000000001</v>
      </c>
      <c r="D266" s="6">
        <v>840.97299999999996</v>
      </c>
      <c r="E266" s="6">
        <v>0</v>
      </c>
      <c r="F266" s="6">
        <v>0</v>
      </c>
      <c r="G266" s="6">
        <v>610.78099999999995</v>
      </c>
      <c r="H266" s="6">
        <v>415.79500000000002</v>
      </c>
      <c r="I266" s="6">
        <v>13477.879000000001</v>
      </c>
      <c r="J266" s="6">
        <v>1850.8710000000001</v>
      </c>
      <c r="K266" s="6">
        <v>393.447</v>
      </c>
      <c r="L266" s="6">
        <v>62.040999999999997</v>
      </c>
      <c r="M266" s="6">
        <v>0</v>
      </c>
      <c r="N266" s="7">
        <f t="shared" si="17"/>
        <v>18056.599000000002</v>
      </c>
      <c r="O266" s="7">
        <f>N266+'59a'!P267+'59a'!G267</f>
        <v>174852.101</v>
      </c>
    </row>
    <row r="267" spans="2:15" s="8" customFormat="1" ht="34.9" hidden="1" customHeight="1">
      <c r="B267" s="15">
        <v>45445</v>
      </c>
      <c r="C267" s="10">
        <v>785.649</v>
      </c>
      <c r="D267" s="10">
        <v>444.88200000000001</v>
      </c>
      <c r="E267" s="10">
        <v>0</v>
      </c>
      <c r="F267" s="10">
        <v>0</v>
      </c>
      <c r="G267" s="10">
        <v>449.35899999999998</v>
      </c>
      <c r="H267" s="10">
        <v>932.02099999999996</v>
      </c>
      <c r="I267" s="10">
        <v>10549.991</v>
      </c>
      <c r="J267" s="10">
        <v>551.78499999999997</v>
      </c>
      <c r="K267" s="10">
        <v>113.974</v>
      </c>
      <c r="L267" s="10">
        <v>31.637</v>
      </c>
      <c r="M267" s="10">
        <v>0</v>
      </c>
      <c r="N267" s="11">
        <f t="shared" si="17"/>
        <v>13859.298000000001</v>
      </c>
      <c r="O267" s="11">
        <f>N267+'59a'!P268+'59a'!G268</f>
        <v>65445.027999999998</v>
      </c>
    </row>
    <row r="268" spans="2:15" s="8" customFormat="1" ht="34.5" hidden="1" customHeight="1">
      <c r="B268" s="14">
        <v>45474</v>
      </c>
      <c r="C268" s="6">
        <v>1421.26</v>
      </c>
      <c r="D268" s="6">
        <v>754.08399999999995</v>
      </c>
      <c r="E268" s="6">
        <v>0</v>
      </c>
      <c r="F268" s="6">
        <v>0</v>
      </c>
      <c r="G268" s="6">
        <v>821.13499999999999</v>
      </c>
      <c r="H268" s="6">
        <v>346.65499999999997</v>
      </c>
      <c r="I268" s="6">
        <v>9264.1839999999993</v>
      </c>
      <c r="J268" s="6">
        <v>683.31399999999996</v>
      </c>
      <c r="K268" s="6">
        <v>264.101</v>
      </c>
      <c r="L268" s="6">
        <v>85.317999999999998</v>
      </c>
      <c r="M268" s="6">
        <v>0</v>
      </c>
      <c r="N268" s="7">
        <f t="shared" ref="N268:N273" si="18">SUM(C268:M268)</f>
        <v>13640.050999999999</v>
      </c>
      <c r="O268" s="7">
        <f>N268+'59a'!P269+'59a'!G269</f>
        <v>92555.835999999996</v>
      </c>
    </row>
    <row r="269" spans="2:15" s="8" customFormat="1" ht="34.9" hidden="1" customHeight="1">
      <c r="B269" s="15">
        <v>45506</v>
      </c>
      <c r="C269" s="10">
        <v>414.89</v>
      </c>
      <c r="D269" s="10">
        <v>306.34800000000001</v>
      </c>
      <c r="E269" s="10">
        <v>0</v>
      </c>
      <c r="F269" s="10">
        <v>0</v>
      </c>
      <c r="G269" s="10">
        <v>353.89100000000002</v>
      </c>
      <c r="H269" s="10">
        <v>265.815</v>
      </c>
      <c r="I269" s="10">
        <v>7068.2650000000003</v>
      </c>
      <c r="J269" s="10">
        <v>2284.5219999999999</v>
      </c>
      <c r="K269" s="10">
        <v>998.53499999999997</v>
      </c>
      <c r="L269" s="10">
        <v>29.885000000000002</v>
      </c>
      <c r="M269" s="10">
        <v>0</v>
      </c>
      <c r="N269" s="11">
        <f t="shared" si="18"/>
        <v>11722.151</v>
      </c>
      <c r="O269" s="11">
        <f>N269+'59a'!P270+'59a'!G270</f>
        <v>84806.987999999998</v>
      </c>
    </row>
    <row r="270" spans="2:15" s="8" customFormat="1" ht="34.5" hidden="1" customHeight="1">
      <c r="B270" s="14">
        <v>45538</v>
      </c>
      <c r="C270" s="6">
        <v>355.858</v>
      </c>
      <c r="D270" s="6">
        <v>347.45100000000002</v>
      </c>
      <c r="E270" s="6">
        <v>0</v>
      </c>
      <c r="F270" s="6">
        <v>0</v>
      </c>
      <c r="G270" s="6">
        <v>527.79600000000005</v>
      </c>
      <c r="H270" s="6">
        <v>155.75200000000001</v>
      </c>
      <c r="I270" s="6">
        <v>5776.4759999999997</v>
      </c>
      <c r="J270" s="6">
        <v>2061.3560000000002</v>
      </c>
      <c r="K270" s="6">
        <v>390.04599999999999</v>
      </c>
      <c r="L270" s="6">
        <v>17.370999999999999</v>
      </c>
      <c r="M270" s="6">
        <v>0</v>
      </c>
      <c r="N270" s="7">
        <f t="shared" si="18"/>
        <v>9632.1059999999998</v>
      </c>
      <c r="O270" s="7">
        <f>N270+'59a'!P271+'59a'!G271</f>
        <v>78161.43299999999</v>
      </c>
    </row>
    <row r="271" spans="2:15" s="8" customFormat="1" ht="34.9" hidden="1" customHeight="1">
      <c r="B271" s="15">
        <v>45570</v>
      </c>
      <c r="C271" s="10">
        <v>482.935</v>
      </c>
      <c r="D271" s="10">
        <v>416.77100000000002</v>
      </c>
      <c r="E271" s="10">
        <v>0</v>
      </c>
      <c r="F271" s="10">
        <v>0</v>
      </c>
      <c r="G271" s="10">
        <v>616.85699999999997</v>
      </c>
      <c r="H271" s="10">
        <v>118.827</v>
      </c>
      <c r="I271" s="10">
        <v>10045.601000000001</v>
      </c>
      <c r="J271" s="10">
        <v>2672.5920000000001</v>
      </c>
      <c r="K271" s="10">
        <v>583.47500000000002</v>
      </c>
      <c r="L271" s="10">
        <v>36.380000000000003</v>
      </c>
      <c r="M271" s="10">
        <v>0</v>
      </c>
      <c r="N271" s="11">
        <f t="shared" si="18"/>
        <v>14973.438</v>
      </c>
      <c r="O271" s="11">
        <f>N271+'59a'!P272+'59a'!G272</f>
        <v>92583.868000000002</v>
      </c>
    </row>
    <row r="272" spans="2:15" s="8" customFormat="1" ht="34.5" hidden="1" customHeight="1">
      <c r="B272" s="14">
        <v>45599</v>
      </c>
      <c r="C272" s="6">
        <v>380.21499999999997</v>
      </c>
      <c r="D272" s="6">
        <v>494.23599999999999</v>
      </c>
      <c r="E272" s="6">
        <v>0</v>
      </c>
      <c r="F272" s="6">
        <v>0</v>
      </c>
      <c r="G272" s="6">
        <v>198.22200000000001</v>
      </c>
      <c r="H272" s="6">
        <v>150.84899999999999</v>
      </c>
      <c r="I272" s="6">
        <v>10833.019</v>
      </c>
      <c r="J272" s="6">
        <v>5637.232</v>
      </c>
      <c r="K272" s="6">
        <v>1963.577</v>
      </c>
      <c r="L272" s="6">
        <v>3.8079999999999998</v>
      </c>
      <c r="M272" s="6">
        <v>0</v>
      </c>
      <c r="N272" s="7">
        <f t="shared" si="18"/>
        <v>19661.158000000003</v>
      </c>
      <c r="O272" s="7">
        <f>N272+'59a'!P273+'59a'!G273</f>
        <v>96000.788</v>
      </c>
    </row>
    <row r="273" spans="2:17" s="8" customFormat="1" ht="34.9" hidden="1" customHeight="1">
      <c r="B273" s="60">
        <v>45628</v>
      </c>
      <c r="C273" s="61">
        <v>2798.7489999999998</v>
      </c>
      <c r="D273" s="61">
        <v>526.11900000000003</v>
      </c>
      <c r="E273" s="61">
        <v>0</v>
      </c>
      <c r="F273" s="61">
        <v>0</v>
      </c>
      <c r="G273" s="61">
        <v>264.94099999999997</v>
      </c>
      <c r="H273" s="61">
        <v>86.745999999999995</v>
      </c>
      <c r="I273" s="61">
        <v>14699.018</v>
      </c>
      <c r="J273" s="61">
        <v>2474.1529999999998</v>
      </c>
      <c r="K273" s="61">
        <v>1046.991</v>
      </c>
      <c r="L273" s="61">
        <v>87.51</v>
      </c>
      <c r="M273" s="61">
        <v>0</v>
      </c>
      <c r="N273" s="62">
        <f t="shared" si="18"/>
        <v>21984.226999999995</v>
      </c>
      <c r="O273" s="62">
        <f>N273+'59a'!P274+'59a'!G274</f>
        <v>132894.96899999998</v>
      </c>
      <c r="P273"/>
      <c r="Q273"/>
    </row>
    <row r="274" spans="2:17" s="8" customFormat="1" ht="34.9" customHeight="1">
      <c r="B274" s="3">
        <v>2025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3"/>
      <c r="O274" s="13"/>
      <c r="P274"/>
      <c r="Q274"/>
    </row>
    <row r="275" spans="2:17" s="8" customFormat="1" ht="34.9" hidden="1" customHeight="1">
      <c r="B275" s="14">
        <v>45658</v>
      </c>
      <c r="C275" s="6">
        <v>2787.14</v>
      </c>
      <c r="D275" s="6">
        <v>418.17599999999999</v>
      </c>
      <c r="E275" s="6">
        <v>0</v>
      </c>
      <c r="F275" s="6">
        <v>0</v>
      </c>
      <c r="G275" s="6">
        <v>224.285</v>
      </c>
      <c r="H275" s="6">
        <v>66.412000000000006</v>
      </c>
      <c r="I275" s="6">
        <v>25296.996999999999</v>
      </c>
      <c r="J275" s="6">
        <v>1101.067</v>
      </c>
      <c r="K275" s="6">
        <v>1126.8510000000001</v>
      </c>
      <c r="L275" s="6">
        <v>27.222000000000001</v>
      </c>
      <c r="M275" s="6">
        <v>0</v>
      </c>
      <c r="N275" s="7">
        <f t="shared" ref="N275:N279" si="19">SUM(C275:M275)</f>
        <v>31048.149999999998</v>
      </c>
      <c r="O275" s="7">
        <f>N275+'59a'!P276+'59a'!G276</f>
        <v>141713.64799999999</v>
      </c>
      <c r="P275"/>
      <c r="Q275"/>
    </row>
    <row r="276" spans="2:17" s="8" customFormat="1" ht="34.9" hidden="1" customHeight="1">
      <c r="B276" s="15">
        <v>45689</v>
      </c>
      <c r="C276" s="10">
        <v>995.40899999999999</v>
      </c>
      <c r="D276" s="10">
        <v>507.36500000000001</v>
      </c>
      <c r="E276" s="10">
        <v>0</v>
      </c>
      <c r="F276" s="10">
        <v>0</v>
      </c>
      <c r="G276" s="10">
        <v>785.26099999999997</v>
      </c>
      <c r="H276" s="10">
        <v>53.357999999999997</v>
      </c>
      <c r="I276" s="10">
        <v>14182.53</v>
      </c>
      <c r="J276" s="10">
        <v>732.18</v>
      </c>
      <c r="K276" s="10">
        <v>1002.486</v>
      </c>
      <c r="L276" s="10">
        <v>55.491999999999997</v>
      </c>
      <c r="M276" s="10">
        <v>0</v>
      </c>
      <c r="N276" s="11">
        <f>SUM(C276:M276)</f>
        <v>18314.081000000002</v>
      </c>
      <c r="O276" s="11">
        <f>N276+'59a'!P277+'59a'!G277</f>
        <v>113296.17499999999</v>
      </c>
      <c r="P276"/>
      <c r="Q276"/>
    </row>
    <row r="277" spans="2:17" s="8" customFormat="1" ht="34.9" hidden="1" customHeight="1">
      <c r="B277" s="14">
        <v>45717</v>
      </c>
      <c r="C277" s="6">
        <v>2211.3119999999999</v>
      </c>
      <c r="D277" s="6">
        <v>139.636</v>
      </c>
      <c r="E277" s="6">
        <v>0</v>
      </c>
      <c r="F277" s="6">
        <v>0</v>
      </c>
      <c r="G277" s="6">
        <v>178.779</v>
      </c>
      <c r="H277" s="6">
        <v>67.53</v>
      </c>
      <c r="I277" s="6">
        <v>20032.439999999999</v>
      </c>
      <c r="J277" s="6">
        <v>503.57499999999999</v>
      </c>
      <c r="K277" s="6">
        <v>587.90300000000002</v>
      </c>
      <c r="L277" s="6">
        <v>53.646000000000001</v>
      </c>
      <c r="M277" s="6">
        <v>0</v>
      </c>
      <c r="N277" s="7">
        <f t="shared" si="19"/>
        <v>23774.821</v>
      </c>
      <c r="O277" s="7">
        <f>N277+'59a'!P278+'59a'!G278</f>
        <v>110235.473</v>
      </c>
      <c r="P277"/>
      <c r="Q277"/>
    </row>
    <row r="278" spans="2:17" s="8" customFormat="1" ht="34.9" hidden="1" customHeight="1">
      <c r="B278" s="15">
        <v>45748</v>
      </c>
      <c r="C278" s="10">
        <v>232.422</v>
      </c>
      <c r="D278" s="10">
        <v>109.467</v>
      </c>
      <c r="E278" s="10">
        <v>0</v>
      </c>
      <c r="F278" s="10">
        <v>0</v>
      </c>
      <c r="G278" s="10">
        <v>135.565</v>
      </c>
      <c r="H278" s="10">
        <v>4.3239999999999998</v>
      </c>
      <c r="I278" s="10">
        <v>30868.147000000001</v>
      </c>
      <c r="J278" s="10">
        <v>1469.056</v>
      </c>
      <c r="K278" s="10">
        <v>1899.998</v>
      </c>
      <c r="L278" s="10">
        <v>104.65900000000001</v>
      </c>
      <c r="M278" s="10">
        <v>0</v>
      </c>
      <c r="N278" s="11">
        <f t="shared" si="19"/>
        <v>34823.637999999999</v>
      </c>
      <c r="O278" s="11">
        <f>N278+'59a'!P279+'59a'!G279</f>
        <v>139424.77900000001</v>
      </c>
    </row>
    <row r="279" spans="2:17" s="8" customFormat="1" ht="34.9" hidden="1" customHeight="1">
      <c r="B279" s="14">
        <v>45778</v>
      </c>
      <c r="C279" s="6">
        <v>404.21600000000001</v>
      </c>
      <c r="D279" s="6">
        <v>674.32500000000005</v>
      </c>
      <c r="E279" s="6">
        <v>0</v>
      </c>
      <c r="F279" s="6">
        <v>0</v>
      </c>
      <c r="G279" s="6">
        <v>3394.7849999999999</v>
      </c>
      <c r="H279" s="6">
        <v>0</v>
      </c>
      <c r="I279" s="6">
        <v>25941.457999999999</v>
      </c>
      <c r="J279" s="6">
        <v>1943.6780000000001</v>
      </c>
      <c r="K279" s="6">
        <v>8558.0709999999999</v>
      </c>
      <c r="L279" s="6">
        <v>30.137</v>
      </c>
      <c r="M279" s="6">
        <v>0</v>
      </c>
      <c r="N279" s="7">
        <f t="shared" si="19"/>
        <v>40946.67</v>
      </c>
      <c r="O279" s="7">
        <f>N279+'59a'!P280+'59a'!G280</f>
        <v>182845.83799999999</v>
      </c>
    </row>
    <row r="280" spans="2:17" s="8" customFormat="1" ht="34.9" hidden="1" customHeight="1">
      <c r="B280" s="15">
        <v>45810</v>
      </c>
      <c r="C280" s="10">
        <v>235.572</v>
      </c>
      <c r="D280" s="10">
        <v>626.47199999999998</v>
      </c>
      <c r="E280" s="10">
        <v>0</v>
      </c>
      <c r="F280" s="10">
        <v>0</v>
      </c>
      <c r="G280" s="10">
        <v>134.26900000000001</v>
      </c>
      <c r="H280" s="10">
        <v>0</v>
      </c>
      <c r="I280" s="10">
        <v>36644.535000000003</v>
      </c>
      <c r="J280" s="10">
        <v>1346.33</v>
      </c>
      <c r="K280" s="10">
        <v>2386.672</v>
      </c>
      <c r="L280" s="10">
        <v>62.183</v>
      </c>
      <c r="M280" s="10">
        <v>0</v>
      </c>
      <c r="N280" s="11">
        <f t="shared" ref="N280:N284" si="20">SUM(C280:M280)</f>
        <v>41436.033000000003</v>
      </c>
      <c r="O280" s="11">
        <f>N280+'59a'!P281+'59a'!G281</f>
        <v>166336.753</v>
      </c>
    </row>
    <row r="281" spans="2:17" s="8" customFormat="1" ht="34.9" hidden="1" customHeight="1">
      <c r="B281" s="14">
        <v>45863</v>
      </c>
      <c r="C281" s="6">
        <v>325.20800000000003</v>
      </c>
      <c r="D281" s="6">
        <v>964.726</v>
      </c>
      <c r="E281" s="6">
        <v>0</v>
      </c>
      <c r="F281" s="6">
        <v>0</v>
      </c>
      <c r="G281" s="6">
        <v>236.52</v>
      </c>
      <c r="H281" s="6">
        <v>0</v>
      </c>
      <c r="I281" s="6">
        <v>92521.930999999997</v>
      </c>
      <c r="J281" s="6">
        <v>1620.518</v>
      </c>
      <c r="K281" s="6">
        <v>2685.8919999999998</v>
      </c>
      <c r="L281" s="6">
        <v>161.93899999999999</v>
      </c>
      <c r="M281" s="6">
        <v>0</v>
      </c>
      <c r="N281" s="7">
        <f t="shared" si="20"/>
        <v>98516.733999999982</v>
      </c>
      <c r="O281" s="7">
        <f>N281+'59a'!P282+'59a'!G282</f>
        <v>260246.033</v>
      </c>
    </row>
    <row r="282" spans="2:17" s="8" customFormat="1" ht="34.9" hidden="1" customHeight="1">
      <c r="B282" s="15">
        <v>45894</v>
      </c>
      <c r="C282" s="10">
        <v>732.726</v>
      </c>
      <c r="D282" s="10">
        <v>587.45000000000005</v>
      </c>
      <c r="E282" s="10">
        <v>0</v>
      </c>
      <c r="F282" s="10">
        <v>0</v>
      </c>
      <c r="G282" s="10">
        <v>413.904</v>
      </c>
      <c r="H282" s="10">
        <v>0</v>
      </c>
      <c r="I282" s="10">
        <v>42644.01</v>
      </c>
      <c r="J282" s="10">
        <v>1914.443</v>
      </c>
      <c r="K282" s="10">
        <v>1917.2840000000001</v>
      </c>
      <c r="L282" s="10">
        <v>65.052999999999997</v>
      </c>
      <c r="M282" s="10">
        <v>0</v>
      </c>
      <c r="N282" s="11">
        <f t="shared" si="20"/>
        <v>48274.87</v>
      </c>
      <c r="O282" s="11">
        <f>N282+'59a'!P283+'59a'!G283</f>
        <v>179437.413</v>
      </c>
    </row>
    <row r="283" spans="2:17" s="8" customFormat="1" ht="34.9" customHeight="1">
      <c r="B283" s="14">
        <v>45925</v>
      </c>
      <c r="C283" s="6">
        <v>1096.732</v>
      </c>
      <c r="D283" s="6">
        <v>753.12300000000005</v>
      </c>
      <c r="E283" s="6">
        <v>0</v>
      </c>
      <c r="F283" s="6">
        <v>0</v>
      </c>
      <c r="G283" s="6">
        <v>531.79100000000005</v>
      </c>
      <c r="H283" s="6">
        <v>0</v>
      </c>
      <c r="I283" s="6">
        <v>59931.6</v>
      </c>
      <c r="J283" s="6">
        <v>1903.5450000000001</v>
      </c>
      <c r="K283" s="6">
        <v>1179.1780000000001</v>
      </c>
      <c r="L283" s="6">
        <v>75.998000000000005</v>
      </c>
      <c r="M283" s="6">
        <v>0</v>
      </c>
      <c r="N283" s="7">
        <f t="shared" si="20"/>
        <v>65471.966999999997</v>
      </c>
      <c r="O283" s="7">
        <f>N283+'59a'!P284+'59a'!G284</f>
        <v>207265.663</v>
      </c>
    </row>
    <row r="284" spans="2:17" s="8" customFormat="1" ht="34.9" customHeight="1">
      <c r="B284" s="15">
        <v>45955</v>
      </c>
      <c r="C284" s="10">
        <v>689.39499999999998</v>
      </c>
      <c r="D284" s="10">
        <v>614.86300000000006</v>
      </c>
      <c r="E284" s="10">
        <v>0</v>
      </c>
      <c r="F284" s="10">
        <v>0</v>
      </c>
      <c r="G284" s="10">
        <v>436.69299999999998</v>
      </c>
      <c r="H284" s="10">
        <v>0</v>
      </c>
      <c r="I284" s="10">
        <v>48509.557999999997</v>
      </c>
      <c r="J284" s="10">
        <v>3644.328</v>
      </c>
      <c r="K284" s="10">
        <v>17074.534</v>
      </c>
      <c r="L284" s="10">
        <v>184.54300000000001</v>
      </c>
      <c r="M284" s="10">
        <v>0</v>
      </c>
      <c r="N284" s="11">
        <f t="shared" si="20"/>
        <v>71153.914000000004</v>
      </c>
      <c r="O284" s="11">
        <f>N284+'59a'!P285+'59a'!G285</f>
        <v>274158.505</v>
      </c>
      <c r="P284"/>
      <c r="Q284"/>
    </row>
    <row r="285" spans="2:17" s="8" customFormat="1" ht="34.9" customHeight="1">
      <c r="B285" s="14">
        <v>45986</v>
      </c>
      <c r="C285" s="6">
        <v>645.38499999999999</v>
      </c>
      <c r="D285" s="6">
        <v>1408.998</v>
      </c>
      <c r="E285" s="6">
        <v>0</v>
      </c>
      <c r="F285" s="6">
        <v>0</v>
      </c>
      <c r="G285" s="6">
        <v>323.69600000000003</v>
      </c>
      <c r="H285" s="6">
        <v>379.839</v>
      </c>
      <c r="I285" s="6">
        <v>30019.274000000001</v>
      </c>
      <c r="J285" s="6">
        <v>1979.78</v>
      </c>
      <c r="K285" s="6">
        <v>10975.424000000001</v>
      </c>
      <c r="L285" s="6">
        <v>306.69900000000001</v>
      </c>
      <c r="M285" s="6">
        <v>0</v>
      </c>
      <c r="N285" s="7">
        <f>SUM(C285:M285)</f>
        <v>46039.095000000001</v>
      </c>
      <c r="O285" s="7">
        <f>N285+'59a'!P286+'59a'!G286</f>
        <v>203130.5</v>
      </c>
    </row>
    <row r="286" spans="2:17" s="8" customFormat="1" ht="34.9" customHeight="1">
      <c r="B286" s="60">
        <v>46016</v>
      </c>
      <c r="C286" s="61">
        <v>731.79200000000003</v>
      </c>
      <c r="D286" s="61">
        <v>328.76499999999999</v>
      </c>
      <c r="E286" s="61">
        <v>0</v>
      </c>
      <c r="F286" s="61">
        <v>0</v>
      </c>
      <c r="G286" s="61">
        <v>813.50800000000004</v>
      </c>
      <c r="H286" s="61">
        <v>138.74299999999999</v>
      </c>
      <c r="I286" s="61">
        <v>20475.965</v>
      </c>
      <c r="J286" s="61">
        <v>5648.42</v>
      </c>
      <c r="K286" s="61">
        <v>10854.578</v>
      </c>
      <c r="L286" s="61">
        <v>105.541</v>
      </c>
      <c r="M286" s="61">
        <v>0</v>
      </c>
      <c r="N286" s="62">
        <f>SUM(C286:M286)</f>
        <v>39097.311999999998</v>
      </c>
      <c r="O286" s="62">
        <f>N286+'59a'!P287+'59a'!G287</f>
        <v>187217.68700000001</v>
      </c>
      <c r="P286"/>
      <c r="Q286"/>
    </row>
    <row r="287" spans="2:17" s="8" customFormat="1" ht="34.9" customHeight="1">
      <c r="B287" s="3">
        <v>2026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3"/>
      <c r="P287"/>
      <c r="Q287"/>
    </row>
    <row r="288" spans="2:17" s="8" customFormat="1" ht="34.9" customHeight="1">
      <c r="B288" s="14">
        <v>46023</v>
      </c>
      <c r="C288" s="6">
        <v>7323.6959999999999</v>
      </c>
      <c r="D288" s="6">
        <v>989.26800000000003</v>
      </c>
      <c r="E288" s="6">
        <v>0</v>
      </c>
      <c r="F288" s="6">
        <v>0</v>
      </c>
      <c r="G288" s="6">
        <v>1181.442</v>
      </c>
      <c r="H288" s="6">
        <v>43.838000000000001</v>
      </c>
      <c r="I288" s="6">
        <v>20996.886999999999</v>
      </c>
      <c r="J288" s="6">
        <v>6791.4309999999996</v>
      </c>
      <c r="K288" s="6">
        <v>5115.1509999999998</v>
      </c>
      <c r="L288" s="6">
        <v>105.20699999999999</v>
      </c>
      <c r="M288" s="6">
        <v>0</v>
      </c>
      <c r="N288" s="7">
        <f>SUM(C288:M288)</f>
        <v>42546.92</v>
      </c>
      <c r="O288" s="7">
        <f>N288+'59a'!P289+'59a'!G289</f>
        <v>181351.71400000001</v>
      </c>
      <c r="P288"/>
      <c r="Q288"/>
    </row>
    <row r="289" spans="2:17" s="8" customFormat="1" ht="34.9" customHeight="1">
      <c r="B289" s="15">
        <v>46054</v>
      </c>
      <c r="C289" s="10">
        <v>4815.5020000000004</v>
      </c>
      <c r="D289" s="10">
        <v>1199.6500000000001</v>
      </c>
      <c r="E289" s="10">
        <v>0</v>
      </c>
      <c r="F289" s="10">
        <v>0</v>
      </c>
      <c r="G289" s="10">
        <v>441.86200000000002</v>
      </c>
      <c r="H289" s="10">
        <v>96.677000000000007</v>
      </c>
      <c r="I289" s="10">
        <v>36888.491999999998</v>
      </c>
      <c r="J289" s="10">
        <v>2499.2910000000002</v>
      </c>
      <c r="K289" s="10">
        <v>3500.2040000000002</v>
      </c>
      <c r="L289" s="10">
        <v>93.397000000000006</v>
      </c>
      <c r="M289" s="10">
        <v>0</v>
      </c>
      <c r="N289" s="11">
        <f>SUM(C289:M289)</f>
        <v>49535.07499999999</v>
      </c>
      <c r="O289" s="11">
        <f>N289+'59a'!P290+'59a'!G290</f>
        <v>215244.66699999999</v>
      </c>
      <c r="P289"/>
      <c r="Q289"/>
    </row>
    <row r="290" spans="2:17" s="8" customFormat="1" ht="34.9" customHeight="1">
      <c r="B290" s="14">
        <v>46082</v>
      </c>
      <c r="C290" s="6">
        <v>1115.009</v>
      </c>
      <c r="D290" s="6">
        <v>1293.48</v>
      </c>
      <c r="E290" s="6">
        <v>0</v>
      </c>
      <c r="F290" s="6">
        <v>0</v>
      </c>
      <c r="G290" s="6">
        <v>156.31700000000001</v>
      </c>
      <c r="H290" s="6">
        <v>29.06</v>
      </c>
      <c r="I290" s="6">
        <v>92783.606</v>
      </c>
      <c r="J290" s="6">
        <v>1128.5419999999999</v>
      </c>
      <c r="K290" s="6">
        <v>4380.88</v>
      </c>
      <c r="L290" s="6">
        <v>116.479</v>
      </c>
      <c r="M290" s="6">
        <v>0</v>
      </c>
      <c r="N290" s="7">
        <f t="shared" ref="N290:N294" si="21">SUM(C290:M290)</f>
        <v>101003.37300000001</v>
      </c>
      <c r="O290" s="7">
        <f>N290+'59a'!P291+'59a'!G291</f>
        <v>253054.81300000002</v>
      </c>
      <c r="P290"/>
      <c r="Q290"/>
    </row>
    <row r="291" spans="2:17" s="8" customFormat="1" ht="34.9" customHeight="1">
      <c r="B291" s="15">
        <v>46113</v>
      </c>
      <c r="C291" s="10">
        <v>12705.31</v>
      </c>
      <c r="D291" s="10">
        <v>485.88</v>
      </c>
      <c r="E291" s="10">
        <v>0</v>
      </c>
      <c r="F291" s="10">
        <v>0</v>
      </c>
      <c r="G291" s="10">
        <v>340.55799999999999</v>
      </c>
      <c r="H291" s="10">
        <v>38.801000000000002</v>
      </c>
      <c r="I291" s="10">
        <v>94684.452999999994</v>
      </c>
      <c r="J291" s="10">
        <v>7191.4409999999998</v>
      </c>
      <c r="K291" s="10">
        <v>13856.214</v>
      </c>
      <c r="L291" s="10">
        <v>71.882000000000005</v>
      </c>
      <c r="M291" s="10">
        <v>0</v>
      </c>
      <c r="N291" s="11">
        <f t="shared" si="21"/>
        <v>129374.539</v>
      </c>
      <c r="O291" s="11">
        <f>N291+'59a'!P292+'59a'!G292</f>
        <v>345370.533</v>
      </c>
      <c r="P291"/>
      <c r="Q291"/>
    </row>
    <row r="292" spans="2:17" s="8" customFormat="1" ht="34.9" customHeight="1">
      <c r="B292" s="14">
        <v>46143</v>
      </c>
      <c r="C292" s="6">
        <v>9843.7049999999999</v>
      </c>
      <c r="D292" s="6">
        <v>828.25599999999997</v>
      </c>
      <c r="E292" s="6">
        <v>0</v>
      </c>
      <c r="F292" s="6">
        <v>0</v>
      </c>
      <c r="G292" s="6">
        <v>307.36099999999999</v>
      </c>
      <c r="H292" s="6">
        <v>11.222</v>
      </c>
      <c r="I292" s="6">
        <v>56241.133000000002</v>
      </c>
      <c r="J292" s="6">
        <v>23525.34</v>
      </c>
      <c r="K292" s="6">
        <v>7516.5739999999996</v>
      </c>
      <c r="L292" s="6">
        <v>105.964</v>
      </c>
      <c r="M292" s="6">
        <v>0</v>
      </c>
      <c r="N292" s="7">
        <f t="shared" si="21"/>
        <v>98379.554999999993</v>
      </c>
      <c r="O292" s="7">
        <f>N292+'59a'!P293+'59a'!G293</f>
        <v>283512.71400000004</v>
      </c>
      <c r="P292"/>
      <c r="Q292"/>
    </row>
    <row r="293" spans="2:17" s="8" customFormat="1" ht="34.9" customHeight="1">
      <c r="B293" s="15">
        <v>46175</v>
      </c>
      <c r="C293" s="10">
        <v>1428.7719999999999</v>
      </c>
      <c r="D293" s="10">
        <v>431.84699999999998</v>
      </c>
      <c r="E293" s="10">
        <v>0</v>
      </c>
      <c r="F293" s="10">
        <v>0</v>
      </c>
      <c r="G293" s="10">
        <v>461.09</v>
      </c>
      <c r="H293" s="10">
        <v>0</v>
      </c>
      <c r="I293" s="10">
        <v>132744.337</v>
      </c>
      <c r="J293" s="10">
        <v>15641.098</v>
      </c>
      <c r="K293" s="10">
        <v>24435.562999999998</v>
      </c>
      <c r="L293" s="10">
        <v>350.25</v>
      </c>
      <c r="M293" s="10">
        <v>0</v>
      </c>
      <c r="N293" s="11">
        <f t="shared" si="21"/>
        <v>175492.95699999999</v>
      </c>
      <c r="O293" s="11">
        <f>N293+'59a'!P294+'59a'!G294</f>
        <v>358489.598</v>
      </c>
      <c r="P293"/>
      <c r="Q293"/>
    </row>
    <row r="294" spans="2:17" s="8" customFormat="1" ht="34.9" customHeight="1">
      <c r="B294" s="14">
        <v>46229</v>
      </c>
      <c r="C294" s="6">
        <v>934.48500000000001</v>
      </c>
      <c r="D294" s="6">
        <v>410.13200000000001</v>
      </c>
      <c r="E294" s="6">
        <v>0</v>
      </c>
      <c r="F294" s="6">
        <v>0</v>
      </c>
      <c r="G294" s="6">
        <v>245.608</v>
      </c>
      <c r="H294" s="6">
        <v>0</v>
      </c>
      <c r="I294" s="6">
        <v>57366.813000000002</v>
      </c>
      <c r="J294" s="6">
        <v>764.26599999999996</v>
      </c>
      <c r="K294" s="6">
        <v>32006.738000000001</v>
      </c>
      <c r="L294" s="6">
        <v>179.922</v>
      </c>
      <c r="M294" s="6">
        <v>0</v>
      </c>
      <c r="N294" s="7">
        <f t="shared" si="21"/>
        <v>91907.964000000007</v>
      </c>
      <c r="O294" s="7">
        <f>N294+'59a'!P295+'59a'!G295</f>
        <v>296157.82700000005</v>
      </c>
      <c r="P294"/>
      <c r="Q294"/>
    </row>
    <row r="295" spans="2:17" s="8" customFormat="1" ht="34.9" customHeight="1">
      <c r="B295" s="15">
        <v>46252</v>
      </c>
      <c r="C295" s="10">
        <v>2530.3429999999998</v>
      </c>
      <c r="D295" s="10">
        <v>694.13499999999999</v>
      </c>
      <c r="E295" s="10">
        <v>0</v>
      </c>
      <c r="F295" s="10">
        <v>0</v>
      </c>
      <c r="G295" s="10">
        <v>385.74400000000003</v>
      </c>
      <c r="H295" s="10">
        <v>0</v>
      </c>
      <c r="I295" s="10">
        <v>22691.392</v>
      </c>
      <c r="J295" s="10">
        <v>18417.339</v>
      </c>
      <c r="K295" s="10">
        <v>9881.1080000000002</v>
      </c>
      <c r="L295" s="10">
        <v>34.091999999999999</v>
      </c>
      <c r="M295" s="10">
        <v>0</v>
      </c>
      <c r="N295" s="11">
        <f t="shared" ref="N295:N296" si="22">SUM(C295:M295)</f>
        <v>54634.152999999998</v>
      </c>
      <c r="O295" s="11">
        <f>N295+'59a'!P296+'59a'!G296</f>
        <v>252643.61900000001</v>
      </c>
      <c r="P295"/>
      <c r="Q295"/>
    </row>
    <row r="296" spans="2:17" s="8" customFormat="1" ht="34.9" customHeight="1">
      <c r="B296" s="155">
        <v>46266</v>
      </c>
      <c r="C296" s="156">
        <v>1331.211</v>
      </c>
      <c r="D296" s="156">
        <v>1230.5039999999999</v>
      </c>
      <c r="E296" s="156">
        <v>0</v>
      </c>
      <c r="F296" s="156">
        <v>0</v>
      </c>
      <c r="G296" s="156">
        <v>1404.117</v>
      </c>
      <c r="H296" s="156">
        <v>0</v>
      </c>
      <c r="I296" s="156">
        <v>34819.385999999999</v>
      </c>
      <c r="J296" s="156">
        <v>12580.724</v>
      </c>
      <c r="K296" s="156">
        <v>22942.65</v>
      </c>
      <c r="L296" s="156">
        <v>74.143000000000001</v>
      </c>
      <c r="M296" s="156">
        <v>0</v>
      </c>
      <c r="N296" s="157">
        <f t="shared" si="22"/>
        <v>74382.735000000001</v>
      </c>
      <c r="O296" s="157">
        <f>N296+'59a'!P297+'59a'!G297</f>
        <v>296068.93200000003</v>
      </c>
      <c r="P296"/>
      <c r="Q296"/>
    </row>
    <row r="297" spans="2:17" s="8" customFormat="1" ht="10.15" customHeight="1">
      <c r="B297" s="71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3"/>
      <c r="O297" s="73"/>
      <c r="P297" s="73"/>
    </row>
    <row r="298" spans="2:17" s="87" customFormat="1" ht="19.5" customHeight="1">
      <c r="B298" s="86" t="s">
        <v>95</v>
      </c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86"/>
      <c r="N298" s="75"/>
      <c r="O298" s="77" t="s">
        <v>93</v>
      </c>
    </row>
    <row r="299" spans="2:17" s="82" customFormat="1" ht="43.5" customHeight="1">
      <c r="B299" s="165" t="s">
        <v>148</v>
      </c>
      <c r="C299" s="165"/>
      <c r="D299" s="165"/>
      <c r="E299" s="165"/>
      <c r="F299" s="165"/>
      <c r="G299" s="165"/>
      <c r="H299" s="4"/>
      <c r="I299" s="4"/>
      <c r="J299" s="178" t="s">
        <v>151</v>
      </c>
      <c r="K299" s="178"/>
      <c r="L299" s="178"/>
      <c r="M299" s="178"/>
      <c r="N299" s="178"/>
      <c r="O299" s="178"/>
    </row>
    <row r="300" spans="2:17" s="2" customFormat="1" ht="38.25" customHeight="1">
      <c r="B300" s="165" t="s">
        <v>161</v>
      </c>
      <c r="C300" s="165"/>
      <c r="D300" s="165"/>
      <c r="E300" s="165"/>
      <c r="F300" s="165"/>
      <c r="G300" s="165"/>
      <c r="H300" s="165"/>
      <c r="J300" s="163" t="s">
        <v>162</v>
      </c>
      <c r="K300" s="164"/>
      <c r="L300" s="164"/>
      <c r="M300" s="164"/>
      <c r="N300" s="164"/>
      <c r="O300" s="164"/>
      <c r="P300" s="151"/>
    </row>
    <row r="301" spans="2:17" ht="1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</row>
    <row r="302" spans="2:17" ht="15">
      <c r="B302"/>
      <c r="C302"/>
      <c r="D302" s="158"/>
      <c r="E302"/>
      <c r="F302"/>
      <c r="G302"/>
      <c r="H302"/>
      <c r="I302"/>
      <c r="J302"/>
      <c r="K302"/>
      <c r="L302"/>
      <c r="M302"/>
      <c r="N302"/>
      <c r="O302"/>
    </row>
    <row r="303" spans="2:17" ht="1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2:17" ht="1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2:15" ht="15">
      <c r="B305"/>
      <c r="C305"/>
      <c r="D305"/>
      <c r="E305"/>
      <c r="F305"/>
      <c r="G305"/>
      <c r="H305"/>
      <c r="I305"/>
      <c r="J305"/>
      <c r="K305"/>
      <c r="L305"/>
      <c r="M305"/>
      <c r="N305" s="158"/>
      <c r="O305"/>
    </row>
    <row r="306" spans="2:15" ht="1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2:15" ht="1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2:15" ht="1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2:15" ht="1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2:15" ht="1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2:15" ht="1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2:15" ht="1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  <row r="313" spans="2:15" ht="1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</row>
    <row r="314" spans="2:15" ht="1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</row>
    <row r="315" spans="2:15" ht="1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</row>
    <row r="316" spans="2:15" ht="1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</row>
    <row r="317" spans="2:15" ht="1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</row>
    <row r="318" spans="2:15" ht="1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</row>
    <row r="319" spans="2:15" ht="1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</row>
    <row r="320" spans="2:15" ht="1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</row>
    <row r="321" spans="2:15" ht="1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2:15" ht="1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</row>
    <row r="323" spans="2:15" ht="1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</row>
    <row r="324" spans="2:15" ht="1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</row>
    <row r="325" spans="2:15" ht="1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</row>
    <row r="326" spans="2:15" ht="1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</row>
    <row r="327" spans="2:15" ht="1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</row>
    <row r="328" spans="2:15" ht="1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</row>
    <row r="329" spans="2:15" ht="1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</row>
    <row r="330" spans="2:15" ht="1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</row>
    <row r="331" spans="2:15" ht="1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</row>
    <row r="332" spans="2:15" ht="1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</row>
    <row r="333" spans="2:15" ht="1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</row>
    <row r="334" spans="2:15" ht="1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2:15" ht="1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</row>
    <row r="336" spans="2:15" ht="1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</row>
    <row r="337" spans="2:15" ht="1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</row>
    <row r="338" spans="2:15" ht="1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</row>
    <row r="339" spans="2:15" ht="1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</row>
    <row r="340" spans="2:15" ht="1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</row>
    <row r="341" spans="2:15" ht="1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</row>
    <row r="342" spans="2:15" ht="1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</row>
    <row r="343" spans="2:15" ht="1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</row>
    <row r="344" spans="2:15" ht="1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</row>
    <row r="345" spans="2:15" ht="1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</row>
    <row r="346" spans="2:15" ht="1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</row>
    <row r="347" spans="2:15" ht="1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2:15" ht="1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</row>
    <row r="349" spans="2:15" ht="1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</row>
    <row r="350" spans="2:15" ht="1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</row>
    <row r="351" spans="2:15" ht="1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</row>
    <row r="352" spans="2:15" ht="1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</row>
    <row r="353" spans="2:15" ht="1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</row>
    <row r="354" spans="2:15" ht="1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</row>
    <row r="355" spans="2:15" ht="1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</row>
    <row r="356" spans="2:15" ht="1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</row>
    <row r="357" spans="2:15" ht="1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</row>
    <row r="358" spans="2:15" ht="1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</row>
    <row r="359" spans="2:15" ht="1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</row>
    <row r="360" spans="2:15" ht="1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</row>
    <row r="361" spans="2:15" ht="1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</row>
    <row r="362" spans="2:15" ht="1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</row>
    <row r="363" spans="2:15" ht="1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</row>
    <row r="364" spans="2:15" ht="1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</row>
    <row r="365" spans="2:15" ht="1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</row>
    <row r="366" spans="2:15" ht="1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</row>
    <row r="367" spans="2:15" ht="1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</row>
    <row r="368" spans="2:15" ht="1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</row>
    <row r="369" spans="2:15" ht="1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</row>
    <row r="370" spans="2:15" ht="1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</row>
    <row r="371" spans="2:15" ht="1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</row>
    <row r="372" spans="2:15" ht="1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</row>
    <row r="373" spans="2:15" ht="1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</row>
    <row r="374" spans="2:15" ht="1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</row>
    <row r="375" spans="2:15" ht="1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</row>
    <row r="376" spans="2:15" ht="1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</row>
    <row r="377" spans="2:15" ht="1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</row>
    <row r="378" spans="2:15" ht="1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</row>
    <row r="379" spans="2:15" ht="1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</row>
    <row r="380" spans="2:15" ht="15">
      <c r="B380" s="138"/>
      <c r="C380" s="138"/>
      <c r="D380" s="138"/>
      <c r="E380" s="138"/>
      <c r="F380" s="138"/>
      <c r="G380" s="138"/>
      <c r="H380" s="138"/>
      <c r="I380" s="138"/>
      <c r="J380" s="138"/>
      <c r="K380" s="138"/>
      <c r="L380" s="138"/>
      <c r="M380"/>
      <c r="N380"/>
      <c r="O380"/>
    </row>
    <row r="381" spans="2:15" ht="1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</row>
    <row r="382" spans="2:15" ht="1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</row>
    <row r="383" spans="2:15" ht="1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</row>
    <row r="384" spans="2:15" ht="1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</row>
    <row r="385" spans="2:15" ht="1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</row>
    <row r="386" spans="2:15" ht="1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</row>
    <row r="387" spans="2:15" ht="1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</row>
    <row r="388" spans="2:15" ht="1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</row>
    <row r="389" spans="2:15" ht="1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</row>
    <row r="390" spans="2:15" ht="1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</row>
    <row r="391" spans="2:15" ht="1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</row>
    <row r="392" spans="2:15" ht="1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</row>
    <row r="393" spans="2:15" ht="1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</row>
    <row r="394" spans="2:15" ht="1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</row>
    <row r="395" spans="2:15" ht="1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</row>
    <row r="396" spans="2:15" ht="1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</row>
    <row r="397" spans="2:15" ht="1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</row>
    <row r="398" spans="2:15" ht="1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</row>
    <row r="399" spans="2:15" ht="1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</row>
    <row r="400" spans="2:15" ht="1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</row>
    <row r="401" spans="2:15" ht="1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</row>
    <row r="402" spans="2:15" ht="1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</row>
    <row r="403" spans="2:15" ht="1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</row>
    <row r="404" spans="2:15" ht="1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</row>
    <row r="405" spans="2:15" ht="1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</row>
    <row r="406" spans="2:15" ht="1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</row>
    <row r="407" spans="2:15" ht="1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</row>
    <row r="408" spans="2:15" ht="1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</row>
    <row r="409" spans="2:15" ht="1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</row>
    <row r="410" spans="2:15" ht="1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</row>
    <row r="411" spans="2:15" ht="1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</row>
    <row r="412" spans="2:15" ht="1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</row>
    <row r="413" spans="2:15" ht="1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</row>
    <row r="414" spans="2:15" ht="1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</row>
    <row r="415" spans="2:15" ht="1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</row>
    <row r="416" spans="2:15" ht="1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</row>
    <row r="417" spans="2:15" ht="1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</row>
    <row r="418" spans="2:15" ht="1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</row>
    <row r="419" spans="2:15" ht="1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</row>
    <row r="420" spans="2:15" ht="1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</row>
    <row r="421" spans="2:15" ht="1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</row>
    <row r="422" spans="2:15" ht="1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</row>
    <row r="423" spans="2:15" ht="1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</row>
    <row r="424" spans="2:15" ht="1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</row>
    <row r="425" spans="2:15" ht="1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</row>
    <row r="426" spans="2:15" ht="1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</row>
    <row r="427" spans="2:15" ht="1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</row>
    <row r="428" spans="2:15" ht="1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</row>
    <row r="429" spans="2:15" ht="1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</row>
    <row r="430" spans="2:15" ht="1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</row>
    <row r="431" spans="2:15" ht="1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</row>
    <row r="432" spans="2:15" ht="1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</row>
    <row r="433" spans="2:15" ht="1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</row>
    <row r="434" spans="2:15" ht="1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</row>
    <row r="435" spans="2:15" ht="1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</row>
    <row r="436" spans="2:15" ht="1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</row>
    <row r="437" spans="2:15" ht="1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</row>
    <row r="438" spans="2:15" ht="1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</row>
    <row r="439" spans="2:15" ht="1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</row>
    <row r="440" spans="2:15" ht="1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</row>
    <row r="441" spans="2:15" ht="1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</row>
    <row r="442" spans="2:15" ht="1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</row>
    <row r="443" spans="2:15" ht="1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</row>
    <row r="444" spans="2:15" ht="1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</row>
    <row r="445" spans="2:15" ht="1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</row>
    <row r="446" spans="2:15" ht="1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</row>
    <row r="447" spans="2:15" ht="1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</row>
    <row r="448" spans="2:15" ht="1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</row>
    <row r="449" spans="2:15" ht="1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</row>
    <row r="450" spans="2:15" ht="1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</row>
    <row r="451" spans="2:15" ht="1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</row>
    <row r="452" spans="2:15" ht="1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</row>
    <row r="453" spans="2:15" ht="1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</row>
    <row r="454" spans="2:15" ht="1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</row>
    <row r="455" spans="2:15" ht="1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</row>
    <row r="456" spans="2:15" ht="1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</row>
    <row r="457" spans="2:15" ht="1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</row>
    <row r="458" spans="2:15" ht="1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</row>
    <row r="459" spans="2:15" ht="1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</row>
    <row r="460" spans="2:15" ht="1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</row>
    <row r="461" spans="2:15" ht="1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</row>
    <row r="462" spans="2:15" ht="1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</row>
    <row r="463" spans="2:15" ht="1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</row>
    <row r="464" spans="2:15" ht="1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</row>
    <row r="465" spans="2:15" ht="1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</row>
    <row r="466" spans="2:15" ht="1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</row>
    <row r="467" spans="2:15" ht="1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</row>
    <row r="468" spans="2:15" ht="1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</row>
    <row r="469" spans="2:15" ht="1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</row>
    <row r="470" spans="2:15" ht="1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</row>
    <row r="471" spans="2:15" ht="1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</row>
    <row r="472" spans="2:15" ht="1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</row>
    <row r="473" spans="2:15" ht="1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</row>
    <row r="474" spans="2:15" ht="1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</row>
    <row r="475" spans="2:15" ht="1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</row>
    <row r="476" spans="2:15" ht="1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</row>
    <row r="477" spans="2:15" ht="1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</row>
    <row r="478" spans="2:15" ht="1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</row>
    <row r="479" spans="2:15" ht="1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</row>
    <row r="480" spans="2:15" ht="1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</row>
    <row r="481" spans="2:15" ht="1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</row>
    <row r="482" spans="2:15" ht="1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</row>
    <row r="483" spans="2:15" ht="1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</row>
    <row r="484" spans="2:15" ht="1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</row>
    <row r="485" spans="2:15" ht="1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</row>
    <row r="486" spans="2:15" ht="1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</row>
    <row r="487" spans="2:15" ht="1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</row>
    <row r="488" spans="2:15" ht="1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</row>
    <row r="489" spans="2:15" ht="1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</row>
    <row r="490" spans="2:15" ht="1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</row>
    <row r="491" spans="2:15" ht="1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</row>
    <row r="492" spans="2:15" ht="1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</row>
    <row r="493" spans="2:15" ht="1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</row>
    <row r="494" spans="2:15" ht="1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</row>
    <row r="495" spans="2:15" ht="1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</row>
    <row r="496" spans="2:15" ht="1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</row>
    <row r="497" spans="2:15" ht="1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</row>
    <row r="498" spans="2:15" ht="1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</row>
    <row r="499" spans="2:15" ht="1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</row>
    <row r="500" spans="2:15" ht="1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</row>
    <row r="501" spans="2:15" ht="1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</row>
    <row r="502" spans="2:15" ht="1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</row>
    <row r="503" spans="2:15" ht="1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</row>
    <row r="504" spans="2:15" ht="1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</row>
    <row r="505" spans="2:15" ht="1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</row>
    <row r="506" spans="2:15" ht="1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</row>
    <row r="507" spans="2:15" ht="1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</row>
    <row r="508" spans="2:15" ht="1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</row>
    <row r="509" spans="2:15" ht="1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</row>
    <row r="510" spans="2:15" ht="1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</row>
    <row r="511" spans="2:15" ht="1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</row>
    <row r="512" spans="2:15" ht="1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</row>
    <row r="513" spans="2:15" ht="1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</row>
    <row r="514" spans="2:15" ht="1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</row>
    <row r="515" spans="2:15" ht="1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</row>
    <row r="516" spans="2:15" ht="1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</row>
    <row r="517" spans="2:15" ht="1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</row>
    <row r="518" spans="2:15" ht="1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</row>
    <row r="519" spans="2:15" ht="1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</row>
    <row r="520" spans="2:15" ht="1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</row>
    <row r="521" spans="2:15" ht="1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</row>
    <row r="522" spans="2:15" ht="1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</row>
    <row r="523" spans="2:15" ht="1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</row>
    <row r="524" spans="2:15" ht="1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</row>
    <row r="525" spans="2:15" ht="1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</row>
    <row r="526" spans="2:15" ht="1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</row>
    <row r="527" spans="2:15" ht="1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</row>
    <row r="528" spans="2:15" ht="1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</row>
    <row r="529" spans="2:15" ht="1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</row>
    <row r="530" spans="2:15" ht="1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</row>
    <row r="531" spans="2:15" ht="1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</row>
    <row r="532" spans="2:15" ht="1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</row>
    <row r="533" spans="2:15" ht="1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</row>
    <row r="534" spans="2:15" ht="1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</row>
    <row r="535" spans="2:15" ht="1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</row>
    <row r="536" spans="2:15" ht="1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</row>
    <row r="537" spans="2:15" ht="1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</row>
    <row r="538" spans="2:15" ht="1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</row>
    <row r="539" spans="2:15" ht="1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</row>
    <row r="540" spans="2:15" ht="1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</row>
    <row r="541" spans="2:15" ht="1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</row>
    <row r="542" spans="2:15" ht="1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</row>
    <row r="543" spans="2:15" ht="1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</row>
    <row r="544" spans="2:15" ht="1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</row>
    <row r="545" spans="2:15" ht="1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</row>
    <row r="546" spans="2:15" ht="1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</row>
    <row r="547" spans="2:15" ht="1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</row>
    <row r="548" spans="2:15" ht="1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</row>
    <row r="549" spans="2:15" ht="1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</row>
    <row r="550" spans="2:15" ht="1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</row>
    <row r="551" spans="2:15" ht="1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</row>
    <row r="552" spans="2:15" ht="1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</row>
    <row r="553" spans="2:15" ht="1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</row>
    <row r="554" spans="2:15" ht="1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</row>
    <row r="555" spans="2:15" ht="1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</row>
    <row r="556" spans="2:15" ht="1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</row>
    <row r="557" spans="2:15" ht="1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</row>
    <row r="558" spans="2:15" ht="1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</row>
    <row r="559" spans="2:15" ht="1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</row>
    <row r="560" spans="2:15" ht="1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</row>
    <row r="561" spans="2:15" ht="1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</row>
    <row r="562" spans="2:15" ht="1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</row>
    <row r="563" spans="2:15" ht="1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</row>
    <row r="564" spans="2:15" ht="1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</row>
    <row r="565" spans="2:15" ht="1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</row>
    <row r="566" spans="2:15" ht="1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</row>
    <row r="567" spans="2:15" ht="1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</row>
    <row r="568" spans="2:15" ht="1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</row>
    <row r="569" spans="2:15" ht="1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</row>
    <row r="570" spans="2:15" ht="1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</row>
    <row r="571" spans="2:15" ht="1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</row>
    <row r="572" spans="2:15" ht="1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</row>
    <row r="573" spans="2:15" ht="1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</row>
    <row r="574" spans="2:15" ht="1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</row>
    <row r="575" spans="2:15" ht="1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</row>
    <row r="576" spans="2:15" ht="1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</row>
    <row r="577" spans="2:15" ht="1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</row>
    <row r="578" spans="2:15" ht="1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</row>
    <row r="579" spans="2:15" ht="1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</row>
    <row r="580" spans="2:15" ht="1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</row>
    <row r="581" spans="2:15" ht="1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</row>
    <row r="582" spans="2:15" ht="1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</row>
    <row r="583" spans="2:15" ht="1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</row>
    <row r="584" spans="2:15" ht="1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</row>
    <row r="585" spans="2:15" ht="1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</row>
    <row r="586" spans="2:15" ht="1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</row>
    <row r="587" spans="2:15" ht="1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</row>
    <row r="588" spans="2:15" ht="1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</row>
    <row r="589" spans="2:15" ht="1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</row>
    <row r="590" spans="2:15" ht="1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</row>
    <row r="591" spans="2:15" ht="1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</row>
    <row r="592" spans="2:15" ht="1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</row>
    <row r="593" spans="2:15" ht="1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</row>
    <row r="594" spans="2:15" ht="1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</row>
    <row r="595" spans="2:15" ht="1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</row>
    <row r="596" spans="2:15" ht="1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</row>
    <row r="597" spans="2:15" ht="1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</row>
    <row r="598" spans="2:15" ht="1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</row>
    <row r="599" spans="2:15" ht="1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</row>
    <row r="600" spans="2:15" ht="1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</row>
    <row r="601" spans="2:15" ht="1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</row>
    <row r="602" spans="2:15" ht="1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</row>
    <row r="603" spans="2:15" ht="1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</row>
    <row r="604" spans="2:15" ht="1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</row>
    <row r="605" spans="2:15" ht="1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</row>
    <row r="606" spans="2:15" ht="1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</row>
    <row r="607" spans="2:15" ht="1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</row>
    <row r="608" spans="2:15" ht="1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</row>
    <row r="609" spans="2:15" ht="1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</row>
    <row r="610" spans="2:15" ht="1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</row>
    <row r="611" spans="2:15" ht="1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</row>
    <row r="612" spans="2:15" ht="1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</row>
    <row r="613" spans="2:15" ht="1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</row>
    <row r="614" spans="2:15" ht="1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</row>
    <row r="615" spans="2:15" ht="1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</row>
    <row r="616" spans="2:15" ht="1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</row>
    <row r="617" spans="2:15" ht="1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</row>
    <row r="618" spans="2:15" ht="1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</row>
    <row r="619" spans="2:15" ht="1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</row>
    <row r="620" spans="2:15" ht="1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</row>
    <row r="621" spans="2:15" ht="1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</row>
    <row r="622" spans="2:15" ht="1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</row>
    <row r="623" spans="2:15" ht="1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</row>
    <row r="624" spans="2:15" ht="1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</row>
    <row r="625" spans="2:15" ht="1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</row>
    <row r="626" spans="2:15" ht="1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</row>
    <row r="627" spans="2:15" ht="1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</row>
    <row r="628" spans="2:15" ht="1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</row>
    <row r="629" spans="2:15" ht="1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</row>
    <row r="630" spans="2:15" ht="1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</row>
    <row r="631" spans="2:15" ht="1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</row>
    <row r="632" spans="2:15" ht="1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</row>
    <row r="633" spans="2:15" ht="1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</row>
    <row r="634" spans="2:15" ht="1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</row>
    <row r="635" spans="2:15" ht="1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</row>
    <row r="636" spans="2:15" ht="1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</row>
    <row r="637" spans="2:15" ht="1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</row>
    <row r="638" spans="2:15" ht="1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</row>
    <row r="639" spans="2:15" ht="1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</row>
    <row r="640" spans="2:15" ht="1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</row>
    <row r="641" spans="2:15" ht="1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</row>
    <row r="642" spans="2:15" ht="1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</row>
    <row r="643" spans="2:15" ht="1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</row>
    <row r="644" spans="2:15" ht="1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</row>
    <row r="645" spans="2:15" ht="1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</row>
    <row r="646" spans="2:15" ht="1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</row>
    <row r="647" spans="2:15" ht="1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</row>
    <row r="648" spans="2:15" ht="1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</row>
    <row r="649" spans="2:15" ht="1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</row>
    <row r="650" spans="2:15" ht="1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</row>
    <row r="651" spans="2:15" ht="1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</row>
    <row r="652" spans="2:15" ht="1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</row>
    <row r="653" spans="2:15" ht="1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</row>
    <row r="654" spans="2:15" ht="1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</row>
    <row r="655" spans="2:15" ht="1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</row>
    <row r="656" spans="2:15" ht="1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</row>
    <row r="657" spans="2:15" ht="1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</row>
    <row r="658" spans="2:15" ht="1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</row>
    <row r="659" spans="2:15" ht="1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</row>
    <row r="660" spans="2:15" ht="1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</row>
    <row r="661" spans="2:15" ht="1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</row>
    <row r="662" spans="2:15" ht="1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</row>
    <row r="663" spans="2:15" ht="1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</row>
    <row r="664" spans="2:15" ht="1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</row>
    <row r="665" spans="2:15" ht="1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</row>
    <row r="666" spans="2:15" ht="1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</row>
    <row r="667" spans="2:15" ht="1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</row>
    <row r="668" spans="2:15" ht="1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</row>
    <row r="669" spans="2:15" ht="1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</row>
    <row r="670" spans="2:15" ht="1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</row>
    <row r="671" spans="2:15" ht="1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</row>
    <row r="672" spans="2:15" ht="1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</row>
    <row r="673" spans="2:15" ht="1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</row>
    <row r="674" spans="2:15" ht="1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</row>
    <row r="675" spans="2:15" ht="1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</row>
    <row r="676" spans="2:15" ht="1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</row>
    <row r="677" spans="2:15" ht="1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</row>
    <row r="678" spans="2:15" ht="1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</row>
    <row r="679" spans="2:15" ht="1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</row>
    <row r="680" spans="2:15" ht="1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</row>
    <row r="681" spans="2:15" ht="1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</row>
    <row r="682" spans="2:15" ht="1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</row>
    <row r="683" spans="2:15" ht="1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</row>
    <row r="684" spans="2:15" ht="1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</row>
    <row r="685" spans="2:15" ht="1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</row>
    <row r="686" spans="2:15" ht="1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</row>
    <row r="687" spans="2:15" ht="1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</row>
    <row r="688" spans="2:15" ht="1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</row>
    <row r="689" spans="2:15" ht="1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</row>
    <row r="690" spans="2:15" ht="1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</row>
    <row r="691" spans="2:15" ht="1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</row>
    <row r="692" spans="2:15" ht="1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</row>
    <row r="693" spans="2:15" ht="1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</row>
    <row r="694" spans="2:15" ht="1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</row>
    <row r="695" spans="2:15" ht="1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</row>
    <row r="696" spans="2:15" ht="1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</row>
    <row r="697" spans="2:15" ht="1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</row>
    <row r="698" spans="2:15" ht="1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</row>
    <row r="699" spans="2:15" ht="1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</row>
    <row r="700" spans="2:15" ht="1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</row>
    <row r="701" spans="2:15" ht="1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</row>
    <row r="702" spans="2:15" ht="1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</row>
    <row r="703" spans="2:15" ht="1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</row>
    <row r="704" spans="2:15" ht="1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</row>
    <row r="705" spans="2:15" ht="1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</row>
    <row r="706" spans="2:15" ht="1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</row>
    <row r="707" spans="2:15" ht="1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</row>
    <row r="708" spans="2:15" ht="1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</row>
    <row r="709" spans="2:15" ht="1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</row>
    <row r="710" spans="2:15" ht="1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</row>
    <row r="711" spans="2:15" ht="1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</row>
    <row r="712" spans="2:15" ht="1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</row>
    <row r="713" spans="2:15" ht="1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</row>
    <row r="714" spans="2:15" ht="1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</row>
    <row r="715" spans="2:15" ht="1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</row>
    <row r="716" spans="2:15" ht="1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</row>
    <row r="717" spans="2:15" ht="1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</row>
    <row r="718" spans="2:15" ht="1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</row>
    <row r="719" spans="2:15" ht="1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</row>
    <row r="720" spans="2:15" ht="1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</row>
    <row r="721" spans="2:15" ht="1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</row>
    <row r="722" spans="2:15" ht="1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</row>
    <row r="723" spans="2:15" ht="1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</row>
    <row r="724" spans="2:15" ht="1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</row>
    <row r="725" spans="2:15" ht="1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</row>
    <row r="726" spans="2:15" ht="1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</row>
    <row r="727" spans="2:15" ht="1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</row>
    <row r="728" spans="2:15" ht="1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</row>
    <row r="729" spans="2:15" ht="1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</row>
    <row r="730" spans="2:15" ht="1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</row>
    <row r="731" spans="2:15" ht="1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</row>
    <row r="732" spans="2:15" ht="1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</row>
    <row r="733" spans="2:15" ht="1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</row>
    <row r="734" spans="2:15" ht="1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</row>
    <row r="735" spans="2:15" ht="1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</row>
    <row r="736" spans="2:15" ht="1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</row>
    <row r="737" spans="2:15" ht="1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</row>
    <row r="738" spans="2:15" ht="1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</row>
    <row r="739" spans="2:15" ht="1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</row>
    <row r="740" spans="2:15" ht="1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</row>
    <row r="741" spans="2:15" ht="1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</row>
    <row r="742" spans="2:15" ht="1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</row>
    <row r="743" spans="2:15" ht="1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</row>
    <row r="744" spans="2:15" ht="1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</row>
    <row r="745" spans="2:15" ht="1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</row>
    <row r="746" spans="2:15" ht="1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</row>
    <row r="747" spans="2:15" ht="1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</row>
    <row r="748" spans="2:15" ht="1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</row>
    <row r="749" spans="2:15" ht="1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</row>
    <row r="750" spans="2:15" ht="1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</row>
    <row r="751" spans="2:15" ht="1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</row>
    <row r="752" spans="2:15" ht="1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</row>
    <row r="753" spans="2:15" ht="1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</row>
    <row r="754" spans="2:15" ht="1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</row>
    <row r="755" spans="2:15" ht="1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</row>
    <row r="756" spans="2:15" ht="1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</row>
    <row r="757" spans="2:15" ht="1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</row>
    <row r="758" spans="2:15" ht="1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</row>
    <row r="759" spans="2:15" ht="1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</row>
    <row r="760" spans="2:15" ht="1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</row>
    <row r="761" spans="2:15" ht="1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</row>
    <row r="762" spans="2:15" ht="1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</row>
    <row r="763" spans="2:15" ht="1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</row>
    <row r="764" spans="2:15" ht="1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</row>
    <row r="765" spans="2:15" ht="1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</row>
    <row r="766" spans="2:15" ht="1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</row>
    <row r="767" spans="2:15" ht="1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</row>
    <row r="768" spans="2:15" ht="1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</row>
    <row r="769" spans="2:15" ht="1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</row>
    <row r="770" spans="2:15" ht="1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</row>
    <row r="771" spans="2:15" ht="1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</row>
    <row r="772" spans="2:15" ht="1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</row>
    <row r="773" spans="2:15" ht="1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</row>
    <row r="774" spans="2:15" ht="1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</row>
    <row r="775" spans="2:15" ht="1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</row>
    <row r="776" spans="2:15" ht="1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</row>
    <row r="777" spans="2:15" ht="1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</row>
    <row r="778" spans="2:15" ht="1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</row>
    <row r="779" spans="2:15" ht="1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</row>
    <row r="780" spans="2:15" ht="1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</row>
    <row r="781" spans="2:15" ht="1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</row>
    <row r="782" spans="2:15" ht="1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</row>
    <row r="783" spans="2:15" ht="1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</row>
    <row r="784" spans="2:15" ht="1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</row>
    <row r="785" spans="2:15" ht="1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</row>
    <row r="786" spans="2:15" ht="1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</row>
    <row r="787" spans="2:15" ht="1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</row>
    <row r="788" spans="2:15" ht="1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</row>
    <row r="789" spans="2:15" ht="1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</row>
    <row r="790" spans="2:15" ht="1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</row>
    <row r="791" spans="2:15" ht="1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</row>
    <row r="792" spans="2:15" ht="1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</row>
    <row r="793" spans="2:15" ht="1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</row>
    <row r="794" spans="2:15" ht="1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</row>
    <row r="795" spans="2:15" ht="1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</row>
    <row r="796" spans="2:15" ht="1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</row>
    <row r="797" spans="2:15" ht="1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</row>
    <row r="798" spans="2:15" ht="1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</row>
    <row r="799" spans="2:15" ht="1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</row>
    <row r="800" spans="2:15" ht="1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</row>
    <row r="801" spans="2:15" ht="1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</row>
    <row r="802" spans="2:15" ht="1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</row>
    <row r="803" spans="2:15" ht="1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</row>
    <row r="804" spans="2:15" ht="1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</row>
    <row r="805" spans="2:15" ht="1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</row>
    <row r="806" spans="2:15" ht="1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</row>
    <row r="807" spans="2:15" ht="1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</row>
    <row r="808" spans="2:15" ht="1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</row>
    <row r="809" spans="2:15" ht="1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</row>
    <row r="810" spans="2:15" ht="1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</row>
    <row r="811" spans="2:15" ht="1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</row>
    <row r="812" spans="2:15" ht="1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</row>
    <row r="813" spans="2:15" ht="1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</row>
    <row r="814" spans="2:15" ht="1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</row>
    <row r="815" spans="2:15" ht="1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</row>
    <row r="816" spans="2:15" ht="1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</row>
    <row r="817" spans="2:15" ht="1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</row>
    <row r="818" spans="2:15" ht="1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</row>
    <row r="819" spans="2:15" ht="1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</row>
    <row r="820" spans="2:15" ht="1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</row>
    <row r="821" spans="2:15" ht="1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</row>
    <row r="822" spans="2:15" ht="1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</row>
    <row r="823" spans="2:15" ht="1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</row>
    <row r="824" spans="2:15" ht="1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</row>
  </sheetData>
  <sortState ref="B263:O266">
    <sortCondition descending="1" ref="B263"/>
  </sortState>
  <mergeCells count="12">
    <mergeCell ref="B2:D2"/>
    <mergeCell ref="M2:O2"/>
    <mergeCell ref="E2:L2"/>
    <mergeCell ref="C6:N6"/>
    <mergeCell ref="D3:M3"/>
    <mergeCell ref="D4:M4"/>
    <mergeCell ref="J300:O300"/>
    <mergeCell ref="B299:G299"/>
    <mergeCell ref="J299:O299"/>
    <mergeCell ref="C7:N7"/>
    <mergeCell ref="O6:O8"/>
    <mergeCell ref="B300:H30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82"/>
  <sheetViews>
    <sheetView rightToLeft="1" zoomScale="40" zoomScaleNormal="40" workbookViewId="0">
      <selection activeCell="H1" sqref="H1"/>
    </sheetView>
  </sheetViews>
  <sheetFormatPr defaultColWidth="9.140625" defaultRowHeight="15"/>
  <cols>
    <col min="1" max="1" width="10.7109375" customWidth="1"/>
    <col min="2" max="2" width="22.7109375" customWidth="1"/>
    <col min="3" max="16" width="24.7109375" customWidth="1"/>
    <col min="17" max="17" width="13.7109375" customWidth="1"/>
  </cols>
  <sheetData>
    <row r="1" spans="2:17" ht="18" customHeight="1"/>
    <row r="2" spans="2:17" s="82" customFormat="1" ht="40.15" customHeight="1">
      <c r="B2" s="166" t="s">
        <v>134</v>
      </c>
      <c r="C2" s="166"/>
      <c r="D2" s="166"/>
      <c r="E2" s="168" t="s">
        <v>101</v>
      </c>
      <c r="F2" s="168"/>
      <c r="G2" s="168"/>
      <c r="H2" s="168"/>
      <c r="I2" s="168"/>
      <c r="J2" s="168"/>
      <c r="K2" s="168"/>
      <c r="L2" s="168"/>
      <c r="M2" s="168"/>
      <c r="N2" s="167" t="s">
        <v>106</v>
      </c>
      <c r="O2" s="167"/>
      <c r="P2" s="167"/>
    </row>
    <row r="3" spans="2:17" s="82" customFormat="1" ht="40.15" customHeight="1">
      <c r="B3" s="63"/>
      <c r="C3" s="63"/>
      <c r="D3" s="168" t="s">
        <v>164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91" t="s">
        <v>132</v>
      </c>
      <c r="P3" s="191"/>
    </row>
    <row r="4" spans="2:17" s="82" customFormat="1" ht="40.15" customHeight="1">
      <c r="D4" s="169" t="s">
        <v>133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92" t="s">
        <v>131</v>
      </c>
      <c r="P4" s="192"/>
      <c r="Q4" s="89"/>
    </row>
    <row r="5" spans="2:17" ht="10.15" customHeight="1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88"/>
      <c r="P5" s="88"/>
      <c r="Q5" s="51"/>
    </row>
    <row r="6" spans="2:17" ht="39.950000000000003" customHeight="1">
      <c r="B6" s="189"/>
      <c r="C6" s="186" t="s">
        <v>72</v>
      </c>
      <c r="D6" s="186"/>
      <c r="E6" s="186"/>
      <c r="F6" s="186"/>
      <c r="G6" s="186"/>
      <c r="H6" s="186" t="s">
        <v>71</v>
      </c>
      <c r="I6" s="186"/>
      <c r="J6" s="186"/>
      <c r="K6" s="186"/>
      <c r="L6" s="186"/>
      <c r="M6" s="186"/>
      <c r="N6" s="186"/>
      <c r="O6" s="186"/>
      <c r="P6" s="188"/>
    </row>
    <row r="7" spans="2:17" ht="39.950000000000003" customHeight="1">
      <c r="B7" s="190"/>
      <c r="C7" s="184" t="s">
        <v>70</v>
      </c>
      <c r="D7" s="185"/>
      <c r="E7" s="185"/>
      <c r="F7" s="185"/>
      <c r="G7" s="185"/>
      <c r="H7" s="184" t="s">
        <v>69</v>
      </c>
      <c r="I7" s="185"/>
      <c r="J7" s="185"/>
      <c r="K7" s="185"/>
      <c r="L7" s="185"/>
      <c r="M7" s="185"/>
      <c r="N7" s="185"/>
      <c r="O7" s="185"/>
      <c r="P7" s="187"/>
    </row>
    <row r="8" spans="2:17" ht="120" customHeight="1">
      <c r="B8" s="190"/>
      <c r="C8" s="35"/>
      <c r="D8" s="27" t="s">
        <v>26</v>
      </c>
      <c r="E8" s="27" t="s">
        <v>25</v>
      </c>
      <c r="F8" s="27" t="s">
        <v>24</v>
      </c>
      <c r="G8" s="27" t="s">
        <v>23</v>
      </c>
      <c r="H8" s="92"/>
      <c r="I8" s="27" t="s">
        <v>21</v>
      </c>
      <c r="J8" s="27" t="s">
        <v>20</v>
      </c>
      <c r="K8" s="27" t="s">
        <v>19</v>
      </c>
      <c r="L8" s="27" t="s">
        <v>18</v>
      </c>
      <c r="M8" s="27" t="s">
        <v>17</v>
      </c>
      <c r="N8" s="27" t="s">
        <v>16</v>
      </c>
      <c r="O8" s="27" t="s">
        <v>15</v>
      </c>
      <c r="P8" s="69" t="s">
        <v>14</v>
      </c>
    </row>
    <row r="9" spans="2:17" ht="33" customHeight="1"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2"/>
    </row>
    <row r="10" spans="2:17" ht="95.25" customHeight="1">
      <c r="B10" s="33"/>
      <c r="C10" s="34"/>
      <c r="D10" s="80" t="s">
        <v>12</v>
      </c>
      <c r="E10" s="80" t="s">
        <v>11</v>
      </c>
      <c r="F10" s="80" t="s">
        <v>10</v>
      </c>
      <c r="G10" s="80" t="s">
        <v>9</v>
      </c>
      <c r="H10" s="80"/>
      <c r="I10" s="80" t="s">
        <v>7</v>
      </c>
      <c r="J10" s="80" t="s">
        <v>6</v>
      </c>
      <c r="K10" s="80" t="s">
        <v>68</v>
      </c>
      <c r="L10" s="80" t="s">
        <v>4</v>
      </c>
      <c r="M10" s="80" t="s">
        <v>110</v>
      </c>
      <c r="N10" s="80" t="s">
        <v>3</v>
      </c>
      <c r="O10" s="80" t="s">
        <v>2</v>
      </c>
      <c r="P10" s="81" t="s">
        <v>1</v>
      </c>
    </row>
    <row r="11" spans="2:17" ht="40.5">
      <c r="B11" s="22" t="s">
        <v>79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2:17" s="8" customFormat="1" ht="34.9" hidden="1" customHeight="1">
      <c r="B12" s="5">
        <v>2004</v>
      </c>
      <c r="C12" s="7">
        <v>3510.7</v>
      </c>
      <c r="D12" s="6">
        <v>3407.8</v>
      </c>
      <c r="E12" s="6">
        <v>2680.2</v>
      </c>
      <c r="F12" s="6">
        <v>4834.8999999999996</v>
      </c>
      <c r="G12" s="6">
        <v>6136.8</v>
      </c>
      <c r="H12" s="7">
        <v>1762</v>
      </c>
      <c r="I12" s="6">
        <v>1804.7</v>
      </c>
      <c r="J12" s="6">
        <v>1868</v>
      </c>
      <c r="K12" s="6">
        <v>1385.6</v>
      </c>
      <c r="L12" s="6">
        <v>1113.5999999999999</v>
      </c>
      <c r="M12" s="6">
        <v>1535.9</v>
      </c>
      <c r="N12" s="6">
        <v>2382.3000000000002</v>
      </c>
      <c r="O12" s="6">
        <v>3325.2</v>
      </c>
      <c r="P12" s="6">
        <v>1382.9</v>
      </c>
    </row>
    <row r="13" spans="2:17" s="8" customFormat="1" ht="34.9" hidden="1" customHeight="1">
      <c r="B13" s="9">
        <v>2005</v>
      </c>
      <c r="C13" s="11">
        <v>6733.6</v>
      </c>
      <c r="D13" s="10">
        <v>6171.3</v>
      </c>
      <c r="E13" s="10">
        <v>5738.7</v>
      </c>
      <c r="F13" s="10">
        <v>16381.5</v>
      </c>
      <c r="G13" s="10">
        <v>9093.2000000000007</v>
      </c>
      <c r="H13" s="11">
        <v>2259.4</v>
      </c>
      <c r="I13" s="10">
        <v>1708.4</v>
      </c>
      <c r="J13" s="10">
        <v>3114.7</v>
      </c>
      <c r="K13" s="10">
        <v>1972.6</v>
      </c>
      <c r="L13" s="10">
        <v>2075.4</v>
      </c>
      <c r="M13" s="10">
        <v>2320.6999999999998</v>
      </c>
      <c r="N13" s="10">
        <v>2921.4</v>
      </c>
      <c r="O13" s="10">
        <v>3671.4</v>
      </c>
      <c r="P13" s="10">
        <v>1736.4</v>
      </c>
    </row>
    <row r="14" spans="2:17" s="8" customFormat="1" ht="34.9" hidden="1" customHeight="1">
      <c r="B14" s="5">
        <v>2006</v>
      </c>
      <c r="C14" s="7">
        <v>4486.3</v>
      </c>
      <c r="D14" s="6">
        <v>4237.7</v>
      </c>
      <c r="E14" s="6">
        <v>3715.5</v>
      </c>
      <c r="F14" s="6">
        <v>8248.7999999999993</v>
      </c>
      <c r="G14" s="6">
        <v>7798.9</v>
      </c>
      <c r="H14" s="7">
        <v>1833.1</v>
      </c>
      <c r="I14" s="6">
        <v>1317.4</v>
      </c>
      <c r="J14" s="6">
        <v>2611.9</v>
      </c>
      <c r="K14" s="6">
        <v>1915.8</v>
      </c>
      <c r="L14" s="6">
        <v>1126.3</v>
      </c>
      <c r="M14" s="6">
        <v>1738.4</v>
      </c>
      <c r="N14" s="6">
        <v>2134.5</v>
      </c>
      <c r="O14" s="6">
        <v>2955.7</v>
      </c>
      <c r="P14" s="6">
        <v>1721.8</v>
      </c>
    </row>
    <row r="15" spans="2:17" s="8" customFormat="1" ht="34.9" hidden="1" customHeight="1">
      <c r="B15" s="9">
        <v>2007</v>
      </c>
      <c r="C15" s="11">
        <v>5131</v>
      </c>
      <c r="D15" s="10">
        <v>5122.2</v>
      </c>
      <c r="E15" s="10">
        <v>3690.1</v>
      </c>
      <c r="F15" s="10">
        <v>9149</v>
      </c>
      <c r="G15" s="10">
        <v>7823.7</v>
      </c>
      <c r="H15" s="11">
        <v>2460.3000000000002</v>
      </c>
      <c r="I15" s="10">
        <v>961.8</v>
      </c>
      <c r="J15" s="10">
        <v>3280.4</v>
      </c>
      <c r="K15" s="10">
        <v>2181.9</v>
      </c>
      <c r="L15" s="10">
        <v>1363.1</v>
      </c>
      <c r="M15" s="10">
        <v>2392.6999999999998</v>
      </c>
      <c r="N15" s="10">
        <v>3858.9</v>
      </c>
      <c r="O15" s="10">
        <v>4699.7</v>
      </c>
      <c r="P15" s="10">
        <v>1889.5</v>
      </c>
    </row>
    <row r="16" spans="2:17" s="8" customFormat="1" ht="34.9" hidden="1" customHeight="1">
      <c r="B16" s="5">
        <v>2008</v>
      </c>
      <c r="C16" s="7">
        <v>3609.1</v>
      </c>
      <c r="D16" s="6">
        <v>4196.3</v>
      </c>
      <c r="E16" s="6">
        <v>3231.1</v>
      </c>
      <c r="F16" s="6">
        <v>4796.2</v>
      </c>
      <c r="G16" s="6">
        <v>3879</v>
      </c>
      <c r="H16" s="7">
        <v>2025.6</v>
      </c>
      <c r="I16" s="6">
        <v>881.7</v>
      </c>
      <c r="J16" s="6">
        <v>3275.9</v>
      </c>
      <c r="K16" s="6">
        <v>1997.5</v>
      </c>
      <c r="L16" s="6">
        <v>850</v>
      </c>
      <c r="M16" s="6">
        <v>1726</v>
      </c>
      <c r="N16" s="6">
        <v>3031.6</v>
      </c>
      <c r="O16" s="6">
        <v>3863.5</v>
      </c>
      <c r="P16" s="6">
        <v>1490.4</v>
      </c>
    </row>
    <row r="17" spans="2:16" s="8" customFormat="1" ht="34.9" hidden="1" customHeight="1">
      <c r="B17" s="9">
        <v>2009</v>
      </c>
      <c r="C17" s="11">
        <v>3026.8</v>
      </c>
      <c r="D17" s="10">
        <v>3646.8</v>
      </c>
      <c r="E17" s="10">
        <v>2838</v>
      </c>
      <c r="F17" s="10">
        <v>3618.3</v>
      </c>
      <c r="G17" s="10">
        <v>3131</v>
      </c>
      <c r="H17" s="11">
        <v>2107.9</v>
      </c>
      <c r="I17" s="10">
        <v>821.1</v>
      </c>
      <c r="J17" s="10">
        <v>2643</v>
      </c>
      <c r="K17" s="10">
        <v>1784.1</v>
      </c>
      <c r="L17" s="10">
        <v>914</v>
      </c>
      <c r="M17" s="10">
        <v>1792</v>
      </c>
      <c r="N17" s="10">
        <v>2806.7</v>
      </c>
      <c r="O17" s="10">
        <v>4795.5</v>
      </c>
      <c r="P17" s="10">
        <v>1557.9</v>
      </c>
    </row>
    <row r="18" spans="2:16" s="8" customFormat="1" ht="34.9" hidden="1" customHeight="1">
      <c r="B18" s="5">
        <v>2010</v>
      </c>
      <c r="C18" s="7">
        <v>2911.7</v>
      </c>
      <c r="D18" s="6">
        <v>3926.5</v>
      </c>
      <c r="E18" s="6">
        <v>2330.1</v>
      </c>
      <c r="F18" s="6">
        <v>2803.7</v>
      </c>
      <c r="G18" s="6">
        <v>2339.6</v>
      </c>
      <c r="H18" s="7">
        <v>1897.2</v>
      </c>
      <c r="I18" s="6">
        <v>949.2</v>
      </c>
      <c r="J18" s="6">
        <v>2636.3</v>
      </c>
      <c r="K18" s="6">
        <v>1602</v>
      </c>
      <c r="L18" s="6">
        <v>743</v>
      </c>
      <c r="M18" s="6">
        <v>1780.2</v>
      </c>
      <c r="N18" s="6">
        <v>2485.5</v>
      </c>
      <c r="O18" s="6">
        <v>4414.8</v>
      </c>
      <c r="P18" s="6">
        <v>1005.7</v>
      </c>
    </row>
    <row r="19" spans="2:16" s="8" customFormat="1" ht="34.9" hidden="1" customHeight="1">
      <c r="B19" s="9">
        <v>2011</v>
      </c>
      <c r="C19" s="11">
        <v>2443.9</v>
      </c>
      <c r="D19" s="10">
        <v>3475.3</v>
      </c>
      <c r="E19" s="10">
        <v>2089.8000000000002</v>
      </c>
      <c r="F19" s="10">
        <v>1580.7</v>
      </c>
      <c r="G19" s="10">
        <v>1939.5</v>
      </c>
      <c r="H19" s="11">
        <v>1693.7</v>
      </c>
      <c r="I19" s="10">
        <v>873.8</v>
      </c>
      <c r="J19" s="10">
        <v>2619.1</v>
      </c>
      <c r="K19" s="10">
        <v>1409.4</v>
      </c>
      <c r="L19" s="10">
        <v>445.2</v>
      </c>
      <c r="M19" s="10">
        <v>1829.8</v>
      </c>
      <c r="N19" s="10">
        <v>1556.2</v>
      </c>
      <c r="O19" s="10">
        <v>4075.1</v>
      </c>
      <c r="P19" s="10">
        <v>944.9</v>
      </c>
    </row>
    <row r="20" spans="2:16" s="8" customFormat="1" ht="34.9" hidden="1" customHeight="1">
      <c r="B20" s="5">
        <v>2012</v>
      </c>
      <c r="C20" s="7">
        <v>2363.6</v>
      </c>
      <c r="D20" s="6">
        <v>3407.64</v>
      </c>
      <c r="E20" s="6">
        <v>1887.2</v>
      </c>
      <c r="F20" s="6">
        <v>1653</v>
      </c>
      <c r="G20" s="6">
        <v>1658.8</v>
      </c>
      <c r="H20" s="7">
        <v>1651.1</v>
      </c>
      <c r="I20" s="6">
        <v>900</v>
      </c>
      <c r="J20" s="6">
        <v>2952.3</v>
      </c>
      <c r="K20" s="6">
        <v>1294.3</v>
      </c>
      <c r="L20" s="6">
        <v>467</v>
      </c>
      <c r="M20" s="6">
        <v>1753.7</v>
      </c>
      <c r="N20" s="6">
        <v>856.8</v>
      </c>
      <c r="O20" s="6">
        <v>4017.9</v>
      </c>
      <c r="P20" s="6">
        <v>770</v>
      </c>
    </row>
    <row r="21" spans="2:16" s="8" customFormat="1" ht="34.9" hidden="1" customHeight="1">
      <c r="B21" s="9">
        <v>2013</v>
      </c>
      <c r="C21" s="11">
        <v>2703.9</v>
      </c>
      <c r="D21" s="10">
        <v>3888.8</v>
      </c>
      <c r="E21" s="10">
        <v>1793.2</v>
      </c>
      <c r="F21" s="10">
        <v>1944.2</v>
      </c>
      <c r="G21" s="10">
        <v>2026.2</v>
      </c>
      <c r="H21" s="11">
        <v>1664.8</v>
      </c>
      <c r="I21" s="10">
        <v>962.7</v>
      </c>
      <c r="J21" s="10">
        <v>3586.5</v>
      </c>
      <c r="K21" s="10">
        <v>1218.5</v>
      </c>
      <c r="L21" s="10">
        <v>451.9</v>
      </c>
      <c r="M21" s="10">
        <v>1356.7</v>
      </c>
      <c r="N21" s="10">
        <v>607.70000000000005</v>
      </c>
      <c r="O21" s="10">
        <v>4140.7</v>
      </c>
      <c r="P21" s="10">
        <v>909.8</v>
      </c>
    </row>
    <row r="22" spans="2:16" s="8" customFormat="1" ht="34.9" hidden="1" customHeight="1">
      <c r="B22" s="5">
        <v>2014</v>
      </c>
      <c r="C22" s="7">
        <v>2920.9</v>
      </c>
      <c r="D22" s="6">
        <v>4286.5</v>
      </c>
      <c r="E22" s="6">
        <v>1976.3</v>
      </c>
      <c r="F22" s="6">
        <v>1835.9</v>
      </c>
      <c r="G22" s="6">
        <v>2072.3000000000002</v>
      </c>
      <c r="H22" s="7">
        <v>1794.8</v>
      </c>
      <c r="I22" s="6">
        <v>975.5</v>
      </c>
      <c r="J22" s="6">
        <v>4052.7</v>
      </c>
      <c r="K22" s="6">
        <v>1257.5999999999999</v>
      </c>
      <c r="L22" s="6">
        <v>487.2</v>
      </c>
      <c r="M22" s="6">
        <v>1161.4000000000001</v>
      </c>
      <c r="N22" s="6">
        <v>419.5</v>
      </c>
      <c r="O22" s="6">
        <v>4677.5</v>
      </c>
      <c r="P22" s="6">
        <v>1080.5999999999999</v>
      </c>
    </row>
    <row r="23" spans="2:16" s="8" customFormat="1" ht="34.9" hidden="1" customHeight="1">
      <c r="B23" s="9">
        <v>2015</v>
      </c>
      <c r="C23" s="11">
        <v>2906.17</v>
      </c>
      <c r="D23" s="10">
        <v>4249.67</v>
      </c>
      <c r="E23" s="10">
        <v>2064.58</v>
      </c>
      <c r="F23" s="10">
        <v>1695.49</v>
      </c>
      <c r="G23" s="10">
        <v>2194.4299999999998</v>
      </c>
      <c r="H23" s="11">
        <v>1726.73</v>
      </c>
      <c r="I23" s="10">
        <v>966.63</v>
      </c>
      <c r="J23" s="10">
        <v>4012.3</v>
      </c>
      <c r="K23" s="10">
        <v>1040.51</v>
      </c>
      <c r="L23" s="10">
        <v>404.04</v>
      </c>
      <c r="M23" s="10">
        <v>1161.43</v>
      </c>
      <c r="N23" s="10">
        <v>189.7</v>
      </c>
      <c r="O23" s="10">
        <v>4803.09</v>
      </c>
      <c r="P23" s="10">
        <v>1026.97</v>
      </c>
    </row>
    <row r="24" spans="2:16" s="8" customFormat="1" ht="34.9" hidden="1" customHeight="1">
      <c r="B24" s="5">
        <v>2016</v>
      </c>
      <c r="C24" s="7">
        <v>2933.21</v>
      </c>
      <c r="D24" s="6">
        <v>4376</v>
      </c>
      <c r="E24" s="6">
        <v>2073.37</v>
      </c>
      <c r="F24" s="6">
        <v>1573.32</v>
      </c>
      <c r="G24" s="6">
        <v>1948.65</v>
      </c>
      <c r="H24" s="7">
        <v>1604.67</v>
      </c>
      <c r="I24" s="6">
        <v>814.14</v>
      </c>
      <c r="J24" s="6">
        <v>3512.97</v>
      </c>
      <c r="K24" s="6">
        <v>992.73</v>
      </c>
      <c r="L24" s="6">
        <v>344.25</v>
      </c>
      <c r="M24" s="6">
        <v>659.1</v>
      </c>
      <c r="N24" s="6">
        <v>170.07</v>
      </c>
      <c r="O24" s="6">
        <v>4940.8500000000004</v>
      </c>
      <c r="P24" s="6">
        <v>1097.0899999999999</v>
      </c>
    </row>
    <row r="25" spans="2:16" s="8" customFormat="1" ht="34.9" hidden="1" customHeight="1">
      <c r="B25" s="9">
        <v>2017</v>
      </c>
      <c r="C25" s="11">
        <v>2881.48</v>
      </c>
      <c r="D25" s="10">
        <v>4367.97</v>
      </c>
      <c r="E25" s="10">
        <v>1953.09</v>
      </c>
      <c r="F25" s="10">
        <v>1470.49</v>
      </c>
      <c r="G25" s="10">
        <v>1676.78</v>
      </c>
      <c r="H25" s="11">
        <v>1449.68</v>
      </c>
      <c r="I25" s="10">
        <v>875.97</v>
      </c>
      <c r="J25" s="10">
        <v>3234.37</v>
      </c>
      <c r="K25" s="10">
        <v>984.99</v>
      </c>
      <c r="L25" s="10">
        <v>356.47</v>
      </c>
      <c r="M25" s="10">
        <v>621.22</v>
      </c>
      <c r="N25" s="10">
        <v>98.12</v>
      </c>
      <c r="O25" s="10">
        <v>3826.49</v>
      </c>
      <c r="P25" s="10">
        <v>1367.14</v>
      </c>
    </row>
    <row r="26" spans="2:16" s="8" customFormat="1" ht="34.9" hidden="1" customHeight="1">
      <c r="B26" s="5">
        <v>2018</v>
      </c>
      <c r="C26" s="7">
        <v>2652.69</v>
      </c>
      <c r="D26" s="6">
        <v>4047.83</v>
      </c>
      <c r="E26" s="6">
        <v>2158.84</v>
      </c>
      <c r="F26" s="6">
        <v>1273.3</v>
      </c>
      <c r="G26" s="6">
        <v>1318.13</v>
      </c>
      <c r="H26" s="7">
        <v>1279.8</v>
      </c>
      <c r="I26" s="6">
        <v>858.77</v>
      </c>
      <c r="J26" s="6">
        <v>2851.68</v>
      </c>
      <c r="K26" s="6">
        <v>1110.3399999999999</v>
      </c>
      <c r="L26" s="6">
        <v>292.02999999999997</v>
      </c>
      <c r="M26" s="6">
        <v>426.35</v>
      </c>
      <c r="N26" s="6">
        <v>61.05</v>
      </c>
      <c r="O26" s="6">
        <v>3131.94</v>
      </c>
      <c r="P26" s="6">
        <v>1320.78</v>
      </c>
    </row>
    <row r="27" spans="2:16" s="8" customFormat="1" ht="34.9" hidden="1" customHeight="1">
      <c r="B27" s="9">
        <v>2019</v>
      </c>
      <c r="C27" s="11">
        <v>2449.96</v>
      </c>
      <c r="D27" s="10">
        <v>3648.25</v>
      </c>
      <c r="E27" s="10">
        <v>1997.35</v>
      </c>
      <c r="F27" s="10">
        <v>1342.8</v>
      </c>
      <c r="G27" s="10">
        <v>1464.22</v>
      </c>
      <c r="H27" s="11">
        <v>1293.04</v>
      </c>
      <c r="I27" s="10">
        <v>912.62</v>
      </c>
      <c r="J27" s="10">
        <v>2165.39</v>
      </c>
      <c r="K27" s="10">
        <v>981.06</v>
      </c>
      <c r="L27" s="10">
        <v>286.32</v>
      </c>
      <c r="M27" s="10">
        <v>433.21</v>
      </c>
      <c r="N27" s="10">
        <v>52.33</v>
      </c>
      <c r="O27" s="10">
        <v>3995.16</v>
      </c>
      <c r="P27" s="10">
        <v>1116.51</v>
      </c>
    </row>
    <row r="28" spans="2:16" s="8" customFormat="1" ht="34.9" hidden="1" customHeight="1">
      <c r="B28" s="5" t="s">
        <v>141</v>
      </c>
      <c r="C28" s="7">
        <v>2171.6535004980828</v>
      </c>
      <c r="D28" s="6">
        <v>3153.6908427623166</v>
      </c>
      <c r="E28" s="6">
        <v>1988.9734085661316</v>
      </c>
      <c r="F28" s="6">
        <v>1338.7846561828621</v>
      </c>
      <c r="G28" s="6">
        <v>1491.3996030446356</v>
      </c>
      <c r="H28" s="7">
        <v>1148.0149821898995</v>
      </c>
      <c r="I28" s="6">
        <v>787.1480725880723</v>
      </c>
      <c r="J28" s="6">
        <v>2282.6059493654325</v>
      </c>
      <c r="K28" s="6">
        <v>812.42331864282937</v>
      </c>
      <c r="L28" s="6">
        <v>256.58129861047996</v>
      </c>
      <c r="M28" s="6">
        <v>465.54320569980104</v>
      </c>
      <c r="N28" s="6">
        <v>50.14975068305813</v>
      </c>
      <c r="O28" s="6">
        <v>3303.4779844390641</v>
      </c>
      <c r="P28" s="6">
        <v>1035.8546220268529</v>
      </c>
    </row>
    <row r="29" spans="2:16" s="8" customFormat="1" ht="34.9" customHeight="1">
      <c r="B29" s="9">
        <v>2021</v>
      </c>
      <c r="C29" s="11">
        <v>2604.4636666529068</v>
      </c>
      <c r="D29" s="10">
        <v>3894.838925484029</v>
      </c>
      <c r="E29" s="10">
        <v>1929.0361362649301</v>
      </c>
      <c r="F29" s="10">
        <v>1363.2141083930796</v>
      </c>
      <c r="G29" s="10">
        <v>1679.8039577177021</v>
      </c>
      <c r="H29" s="11">
        <v>1327.4205470300733</v>
      </c>
      <c r="I29" s="10">
        <v>750.50684827660587</v>
      </c>
      <c r="J29" s="10">
        <v>2549.0986593786456</v>
      </c>
      <c r="K29" s="10">
        <v>797.21254521126116</v>
      </c>
      <c r="L29" s="10">
        <v>294.69071459831787</v>
      </c>
      <c r="M29" s="10">
        <v>603.79093584057568</v>
      </c>
      <c r="N29" s="10">
        <v>50.14975068305813</v>
      </c>
      <c r="O29" s="10">
        <v>4199.6043136972467</v>
      </c>
      <c r="P29" s="10">
        <v>953.5320025721536</v>
      </c>
    </row>
    <row r="30" spans="2:16" s="8" customFormat="1" ht="34.9" customHeight="1">
      <c r="B30" s="5">
        <v>2022</v>
      </c>
      <c r="C30" s="7">
        <v>2692.23</v>
      </c>
      <c r="D30" s="6">
        <v>4130.91</v>
      </c>
      <c r="E30" s="6">
        <v>1843.58</v>
      </c>
      <c r="F30" s="6">
        <v>1179.1199999999999</v>
      </c>
      <c r="G30" s="6">
        <v>1488.11</v>
      </c>
      <c r="H30" s="7">
        <v>1740.81</v>
      </c>
      <c r="I30" s="6">
        <v>1124.78</v>
      </c>
      <c r="J30" s="6">
        <v>2579.88</v>
      </c>
      <c r="K30" s="6">
        <v>793.96</v>
      </c>
      <c r="L30" s="6">
        <v>271.93</v>
      </c>
      <c r="M30" s="6">
        <v>626.22</v>
      </c>
      <c r="N30" s="6">
        <v>50.15</v>
      </c>
      <c r="O30" s="6">
        <v>6873.63</v>
      </c>
      <c r="P30" s="6">
        <v>808.41</v>
      </c>
    </row>
    <row r="31" spans="2:16" s="8" customFormat="1" ht="34.9" customHeight="1">
      <c r="B31" s="9">
        <v>2023</v>
      </c>
      <c r="C31" s="11">
        <v>2728.97</v>
      </c>
      <c r="D31" s="10">
        <v>4152.92</v>
      </c>
      <c r="E31" s="10">
        <v>1820.31</v>
      </c>
      <c r="F31" s="10">
        <v>1265.23</v>
      </c>
      <c r="G31" s="10">
        <v>1666.93</v>
      </c>
      <c r="H31" s="11">
        <v>1644.03</v>
      </c>
      <c r="I31" s="10">
        <v>1161.1400000000001</v>
      </c>
      <c r="J31" s="10">
        <v>2387.17</v>
      </c>
      <c r="K31" s="10">
        <v>797.13</v>
      </c>
      <c r="L31" s="10">
        <v>298.2</v>
      </c>
      <c r="M31" s="10">
        <v>682.58</v>
      </c>
      <c r="N31" s="10">
        <v>50.15</v>
      </c>
      <c r="O31" s="10">
        <v>6226.58</v>
      </c>
      <c r="P31" s="10">
        <v>757.34</v>
      </c>
    </row>
    <row r="32" spans="2:16" s="8" customFormat="1" ht="34.9" customHeight="1">
      <c r="B32" s="5">
        <v>2024</v>
      </c>
      <c r="C32" s="7">
        <v>2650.97</v>
      </c>
      <c r="D32" s="6">
        <v>4033.33</v>
      </c>
      <c r="E32" s="6">
        <v>1990.1</v>
      </c>
      <c r="F32" s="6">
        <v>1147.8399999999999</v>
      </c>
      <c r="G32" s="6">
        <v>1608.44</v>
      </c>
      <c r="H32" s="7">
        <v>1693.32</v>
      </c>
      <c r="I32" s="6">
        <v>1038.72</v>
      </c>
      <c r="J32" s="6">
        <v>2407.64</v>
      </c>
      <c r="K32" s="6">
        <v>718.79</v>
      </c>
      <c r="L32" s="6">
        <v>259.76</v>
      </c>
      <c r="M32" s="6">
        <v>755.32</v>
      </c>
      <c r="N32" s="6">
        <v>50.15</v>
      </c>
      <c r="O32" s="6">
        <v>6681.77</v>
      </c>
      <c r="P32" s="6">
        <v>680.15</v>
      </c>
    </row>
    <row r="33" spans="2:16" s="8" customFormat="1" ht="34.9" customHeight="1">
      <c r="B33" s="9">
        <v>2025</v>
      </c>
      <c r="C33" s="11">
        <v>3775.55</v>
      </c>
      <c r="D33" s="10">
        <v>5877.2</v>
      </c>
      <c r="E33" s="10">
        <v>2341.0100000000002</v>
      </c>
      <c r="F33" s="10">
        <v>1186.95</v>
      </c>
      <c r="G33" s="10">
        <v>2174.11</v>
      </c>
      <c r="H33" s="11">
        <v>2172.31</v>
      </c>
      <c r="I33" s="10">
        <v>1069.6300000000001</v>
      </c>
      <c r="J33" s="10">
        <v>2991.15</v>
      </c>
      <c r="K33" s="10">
        <v>776.76</v>
      </c>
      <c r="L33" s="10">
        <v>394.31</v>
      </c>
      <c r="M33" s="10">
        <v>823.58</v>
      </c>
      <c r="N33" s="10">
        <v>50.15</v>
      </c>
      <c r="O33" s="10">
        <v>9155.3700000000008</v>
      </c>
      <c r="P33" s="10">
        <v>686.83</v>
      </c>
    </row>
    <row r="34" spans="2:16" s="8" customFormat="1" ht="34.9" hidden="1" customHeight="1">
      <c r="B34" s="3">
        <v>2006</v>
      </c>
      <c r="C34" s="13"/>
      <c r="D34" s="12"/>
      <c r="E34" s="12"/>
      <c r="F34" s="12"/>
      <c r="G34" s="12"/>
      <c r="H34" s="13"/>
      <c r="I34" s="12"/>
      <c r="J34" s="12"/>
      <c r="K34" s="12"/>
      <c r="L34" s="12"/>
      <c r="M34" s="12"/>
      <c r="N34" s="12"/>
      <c r="O34" s="12"/>
      <c r="P34" s="12"/>
    </row>
    <row r="35" spans="2:16" s="8" customFormat="1" ht="34.9" hidden="1" customHeight="1">
      <c r="B35" s="14">
        <v>38899</v>
      </c>
      <c r="C35" s="7">
        <v>4838.8999999999996</v>
      </c>
      <c r="D35" s="6">
        <v>4442.8</v>
      </c>
      <c r="E35" s="6">
        <v>4228.8999999999996</v>
      </c>
      <c r="F35" s="6">
        <v>9801.7000000000007</v>
      </c>
      <c r="G35" s="6">
        <v>8126.2</v>
      </c>
      <c r="H35" s="7">
        <v>1940.5</v>
      </c>
      <c r="I35" s="6">
        <v>1314.5</v>
      </c>
      <c r="J35" s="6">
        <v>2568.6</v>
      </c>
      <c r="K35" s="6">
        <v>2143.1</v>
      </c>
      <c r="L35" s="6">
        <v>1397.3</v>
      </c>
      <c r="M35" s="6" t="s">
        <v>92</v>
      </c>
      <c r="N35" s="6">
        <v>2217.3000000000002</v>
      </c>
      <c r="O35" s="6">
        <v>3145.6</v>
      </c>
      <c r="P35" s="6">
        <v>1589.4</v>
      </c>
    </row>
    <row r="36" spans="2:16" s="8" customFormat="1" ht="34.9" hidden="1" customHeight="1">
      <c r="B36" s="15">
        <v>38930</v>
      </c>
      <c r="C36" s="11">
        <v>5135.5</v>
      </c>
      <c r="D36" s="10">
        <v>4548</v>
      </c>
      <c r="E36" s="10">
        <v>4122.8</v>
      </c>
      <c r="F36" s="10">
        <v>11067</v>
      </c>
      <c r="G36" s="10">
        <v>9595.1</v>
      </c>
      <c r="H36" s="11">
        <v>1960.2</v>
      </c>
      <c r="I36" s="10">
        <v>1363.1</v>
      </c>
      <c r="J36" s="10">
        <v>2420</v>
      </c>
      <c r="K36" s="10">
        <v>2158.8000000000002</v>
      </c>
      <c r="L36" s="10">
        <v>1420.6</v>
      </c>
      <c r="M36" s="10" t="s">
        <v>92</v>
      </c>
      <c r="N36" s="10">
        <v>2347.1999999999998</v>
      </c>
      <c r="O36" s="10">
        <v>3238</v>
      </c>
      <c r="P36" s="10">
        <v>1739.1</v>
      </c>
    </row>
    <row r="37" spans="2:16" s="8" customFormat="1" ht="34.9" hidden="1" customHeight="1">
      <c r="B37" s="14">
        <v>38961</v>
      </c>
      <c r="C37" s="7">
        <v>4982</v>
      </c>
      <c r="D37" s="6">
        <v>4523.6000000000004</v>
      </c>
      <c r="E37" s="6">
        <v>4048.1</v>
      </c>
      <c r="F37" s="6">
        <v>9840.7000000000007</v>
      </c>
      <c r="G37" s="6">
        <v>9445.5</v>
      </c>
      <c r="H37" s="7">
        <v>1931.6</v>
      </c>
      <c r="I37" s="6">
        <v>1372.7</v>
      </c>
      <c r="J37" s="6">
        <v>2526.4</v>
      </c>
      <c r="K37" s="6">
        <v>2103.5</v>
      </c>
      <c r="L37" s="6">
        <v>1414.9</v>
      </c>
      <c r="M37" s="6" t="s">
        <v>92</v>
      </c>
      <c r="N37" s="6">
        <v>2262.6</v>
      </c>
      <c r="O37" s="6">
        <v>3085.7</v>
      </c>
      <c r="P37" s="6">
        <v>1816.7</v>
      </c>
    </row>
    <row r="38" spans="2:16" s="8" customFormat="1" ht="34.9" hidden="1" customHeight="1">
      <c r="B38" s="15">
        <v>38991</v>
      </c>
      <c r="C38" s="11">
        <v>5073</v>
      </c>
      <c r="D38" s="10">
        <v>4575.3999999999996</v>
      </c>
      <c r="E38" s="10">
        <v>4121.5</v>
      </c>
      <c r="F38" s="10">
        <v>10222.9</v>
      </c>
      <c r="G38" s="10">
        <v>9627</v>
      </c>
      <c r="H38" s="11">
        <v>1901.8</v>
      </c>
      <c r="I38" s="10">
        <v>1373.1</v>
      </c>
      <c r="J38" s="10">
        <v>2516.8000000000002</v>
      </c>
      <c r="K38" s="10">
        <v>2028.6</v>
      </c>
      <c r="L38" s="10">
        <v>1259.5999999999999</v>
      </c>
      <c r="M38" s="10">
        <v>1860.8</v>
      </c>
      <c r="N38" s="10">
        <v>2249.9</v>
      </c>
      <c r="O38" s="10">
        <v>3083.4</v>
      </c>
      <c r="P38" s="10">
        <v>1738</v>
      </c>
    </row>
    <row r="39" spans="2:16" s="8" customFormat="1" ht="34.9" hidden="1" customHeight="1">
      <c r="B39" s="14">
        <v>39022</v>
      </c>
      <c r="C39" s="7">
        <v>4591.5</v>
      </c>
      <c r="D39" s="6">
        <v>4138</v>
      </c>
      <c r="E39" s="6">
        <v>3843.8</v>
      </c>
      <c r="F39" s="6">
        <v>9187.7999999999993</v>
      </c>
      <c r="G39" s="6">
        <v>8716.2000000000007</v>
      </c>
      <c r="H39" s="7">
        <v>1828.7</v>
      </c>
      <c r="I39" s="6">
        <v>1367.3</v>
      </c>
      <c r="J39" s="6">
        <v>2627.6</v>
      </c>
      <c r="K39" s="6">
        <v>1920.5</v>
      </c>
      <c r="L39" s="6">
        <v>1128.3</v>
      </c>
      <c r="M39" s="6">
        <v>1725.7</v>
      </c>
      <c r="N39" s="6">
        <v>2160.8000000000002</v>
      </c>
      <c r="O39" s="6">
        <v>2918.4</v>
      </c>
      <c r="P39" s="6">
        <v>1695.9</v>
      </c>
    </row>
    <row r="40" spans="2:16" s="8" customFormat="1" ht="34.9" hidden="1" customHeight="1">
      <c r="B40" s="15">
        <v>39052</v>
      </c>
      <c r="C40" s="11">
        <v>4486.3</v>
      </c>
      <c r="D40" s="10">
        <v>4237.7</v>
      </c>
      <c r="E40" s="10">
        <v>3715.5</v>
      </c>
      <c r="F40" s="10">
        <v>8248.7999999999993</v>
      </c>
      <c r="G40" s="10">
        <v>7798.9</v>
      </c>
      <c r="H40" s="11">
        <v>1833.1</v>
      </c>
      <c r="I40" s="10">
        <v>1317.4</v>
      </c>
      <c r="J40" s="10">
        <v>2611.9</v>
      </c>
      <c r="K40" s="10">
        <v>1915.8</v>
      </c>
      <c r="L40" s="10">
        <v>1126.3</v>
      </c>
      <c r="M40" s="10">
        <v>1738.4</v>
      </c>
      <c r="N40" s="10">
        <v>2134.5</v>
      </c>
      <c r="O40" s="10">
        <v>2955.7</v>
      </c>
      <c r="P40" s="10">
        <v>1721.8</v>
      </c>
    </row>
    <row r="41" spans="2:16" s="8" customFormat="1" ht="34.9" hidden="1" customHeight="1">
      <c r="B41" s="3">
        <v>2007</v>
      </c>
      <c r="C41" s="13"/>
      <c r="D41" s="12"/>
      <c r="E41" s="12"/>
      <c r="F41" s="12"/>
      <c r="G41" s="12"/>
      <c r="H41" s="13"/>
      <c r="I41" s="12"/>
      <c r="J41" s="12"/>
      <c r="K41" s="12"/>
      <c r="L41" s="12"/>
      <c r="M41" s="12"/>
      <c r="N41" s="12"/>
      <c r="O41" s="12"/>
      <c r="P41" s="12"/>
    </row>
    <row r="42" spans="2:16" s="8" customFormat="1" ht="34.9" hidden="1" customHeight="1">
      <c r="B42" s="14">
        <v>39083</v>
      </c>
      <c r="C42" s="7">
        <v>4846</v>
      </c>
      <c r="D42" s="6">
        <v>4663.3</v>
      </c>
      <c r="E42" s="6">
        <v>3877.8</v>
      </c>
      <c r="F42" s="6">
        <v>8496.5</v>
      </c>
      <c r="G42" s="6">
        <v>8382.4</v>
      </c>
      <c r="H42" s="7">
        <v>1987.3</v>
      </c>
      <c r="I42" s="6">
        <v>1294</v>
      </c>
      <c r="J42" s="6">
        <v>2754.6</v>
      </c>
      <c r="K42" s="6">
        <v>2042.2</v>
      </c>
      <c r="L42" s="6">
        <v>1231.8</v>
      </c>
      <c r="M42" s="6">
        <v>1940.9</v>
      </c>
      <c r="N42" s="6">
        <v>2550.4</v>
      </c>
      <c r="O42" s="6">
        <v>3288</v>
      </c>
      <c r="P42" s="6">
        <v>1695.5</v>
      </c>
    </row>
    <row r="43" spans="2:16" s="8" customFormat="1" ht="34.9" hidden="1" customHeight="1">
      <c r="B43" s="15">
        <v>39114</v>
      </c>
      <c r="C43" s="11">
        <v>5036.1000000000004</v>
      </c>
      <c r="D43" s="10">
        <v>4812.3</v>
      </c>
      <c r="E43" s="10">
        <v>3912.8</v>
      </c>
      <c r="F43" s="10">
        <v>9085.7999999999993</v>
      </c>
      <c r="G43" s="10">
        <v>8782.2000000000007</v>
      </c>
      <c r="H43" s="11">
        <v>2137.4</v>
      </c>
      <c r="I43" s="10">
        <v>1522.1</v>
      </c>
      <c r="J43" s="10">
        <v>3080.6</v>
      </c>
      <c r="K43" s="10">
        <v>2200.4</v>
      </c>
      <c r="L43" s="10">
        <v>1326.3</v>
      </c>
      <c r="M43" s="10">
        <v>2067.5</v>
      </c>
      <c r="N43" s="10">
        <v>2555.8000000000002</v>
      </c>
      <c r="O43" s="10">
        <v>3491.1</v>
      </c>
      <c r="P43" s="10">
        <v>1705.5</v>
      </c>
    </row>
    <row r="44" spans="2:16" s="8" customFormat="1" ht="34.9" hidden="1" customHeight="1">
      <c r="B44" s="14">
        <v>39142</v>
      </c>
      <c r="C44" s="7">
        <v>4819.6000000000004</v>
      </c>
      <c r="D44" s="6">
        <v>4643.6000000000004</v>
      </c>
      <c r="E44" s="6">
        <v>3782.8</v>
      </c>
      <c r="F44" s="6">
        <v>8541.2999999999993</v>
      </c>
      <c r="G44" s="6">
        <v>8270.2000000000007</v>
      </c>
      <c r="H44" s="7">
        <v>2084.5</v>
      </c>
      <c r="I44" s="6">
        <v>1433.7</v>
      </c>
      <c r="J44" s="6">
        <v>2984</v>
      </c>
      <c r="K44" s="6">
        <v>2159.9</v>
      </c>
      <c r="L44" s="6">
        <v>1323.4</v>
      </c>
      <c r="M44" s="6">
        <v>2033.8</v>
      </c>
      <c r="N44" s="6">
        <v>2660.4</v>
      </c>
      <c r="O44" s="6">
        <v>3342.8</v>
      </c>
      <c r="P44" s="6">
        <v>1740</v>
      </c>
    </row>
    <row r="45" spans="2:16" s="8" customFormat="1" ht="34.9" hidden="1" customHeight="1">
      <c r="B45" s="15">
        <v>39173</v>
      </c>
      <c r="C45" s="11">
        <v>4609.6000000000004</v>
      </c>
      <c r="D45" s="10">
        <v>4510.8999999999996</v>
      </c>
      <c r="E45" s="10">
        <v>3685.2</v>
      </c>
      <c r="F45" s="10">
        <v>7670</v>
      </c>
      <c r="G45" s="10">
        <v>7864.4</v>
      </c>
      <c r="H45" s="11">
        <v>2053.9</v>
      </c>
      <c r="I45" s="10">
        <v>1230.2</v>
      </c>
      <c r="J45" s="10">
        <v>3181.4</v>
      </c>
      <c r="K45" s="10">
        <v>2123.6999999999998</v>
      </c>
      <c r="L45" s="10">
        <v>1228.5</v>
      </c>
      <c r="M45" s="10">
        <v>1856.5</v>
      </c>
      <c r="N45" s="10">
        <v>2931.5</v>
      </c>
      <c r="O45" s="10">
        <v>3317.5</v>
      </c>
      <c r="P45" s="10">
        <v>1664.8</v>
      </c>
    </row>
    <row r="46" spans="2:16" s="8" customFormat="1" ht="34.9" hidden="1" customHeight="1">
      <c r="B46" s="14">
        <v>39203</v>
      </c>
      <c r="C46" s="7">
        <v>4578.1000000000004</v>
      </c>
      <c r="D46" s="6">
        <v>4416.8</v>
      </c>
      <c r="E46" s="6">
        <v>3623.3</v>
      </c>
      <c r="F46" s="6">
        <v>7698.6</v>
      </c>
      <c r="G46" s="6">
        <v>8167</v>
      </c>
      <c r="H46" s="7">
        <v>2057.1</v>
      </c>
      <c r="I46" s="6">
        <v>1199.8</v>
      </c>
      <c r="J46" s="6">
        <v>3317.3</v>
      </c>
      <c r="K46" s="6">
        <v>2125.9</v>
      </c>
      <c r="L46" s="6">
        <v>1325.1</v>
      </c>
      <c r="M46" s="6">
        <v>1827</v>
      </c>
      <c r="N46" s="6">
        <v>2938.1</v>
      </c>
      <c r="O46" s="6">
        <v>3191.2</v>
      </c>
      <c r="P46" s="6">
        <v>1804.3</v>
      </c>
    </row>
    <row r="47" spans="2:16" s="8" customFormat="1" ht="34.9" hidden="1" customHeight="1">
      <c r="B47" s="15">
        <v>39234</v>
      </c>
      <c r="C47" s="11">
        <v>4586.8999999999996</v>
      </c>
      <c r="D47" s="10">
        <v>4452.8</v>
      </c>
      <c r="E47" s="10">
        <v>3672.1</v>
      </c>
      <c r="F47" s="10">
        <v>7623.5</v>
      </c>
      <c r="G47" s="10">
        <v>8060.2</v>
      </c>
      <c r="H47" s="11">
        <v>2154.8000000000002</v>
      </c>
      <c r="I47" s="10">
        <v>1299</v>
      </c>
      <c r="J47" s="10">
        <v>3945.4</v>
      </c>
      <c r="K47" s="10">
        <v>2087.5</v>
      </c>
      <c r="L47" s="10">
        <v>1369.1</v>
      </c>
      <c r="M47" s="10">
        <v>1793.3</v>
      </c>
      <c r="N47" s="10">
        <v>2983.8</v>
      </c>
      <c r="O47" s="10">
        <v>3275.9</v>
      </c>
      <c r="P47" s="10">
        <v>1852.2</v>
      </c>
    </row>
    <row r="48" spans="2:16" s="8" customFormat="1" ht="34.9" hidden="1" customHeight="1">
      <c r="B48" s="14">
        <v>39264</v>
      </c>
      <c r="C48" s="7">
        <v>4440.1000000000004</v>
      </c>
      <c r="D48" s="6">
        <v>4269.5</v>
      </c>
      <c r="E48" s="6">
        <v>3569.9</v>
      </c>
      <c r="F48" s="6">
        <v>7374.4</v>
      </c>
      <c r="G48" s="6">
        <v>8053.5</v>
      </c>
      <c r="H48" s="7">
        <v>2146</v>
      </c>
      <c r="I48" s="6">
        <v>1208.3</v>
      </c>
      <c r="J48" s="6">
        <v>3893.9</v>
      </c>
      <c r="K48" s="6">
        <v>2104</v>
      </c>
      <c r="L48" s="6">
        <v>1357.7</v>
      </c>
      <c r="M48" s="6">
        <v>1770</v>
      </c>
      <c r="N48" s="6">
        <v>3308.7</v>
      </c>
      <c r="O48" s="6">
        <v>3271.7</v>
      </c>
      <c r="P48" s="6">
        <v>1749</v>
      </c>
    </row>
    <row r="49" spans="2:16" s="8" customFormat="1" ht="34.9" hidden="1" customHeight="1">
      <c r="B49" s="15">
        <v>39295</v>
      </c>
      <c r="C49" s="11">
        <v>4340.3</v>
      </c>
      <c r="D49" s="10">
        <v>4158.3</v>
      </c>
      <c r="E49" s="10">
        <v>3490.9</v>
      </c>
      <c r="F49" s="10">
        <v>7395.2</v>
      </c>
      <c r="G49" s="10">
        <v>7801</v>
      </c>
      <c r="H49" s="11">
        <v>2057.9</v>
      </c>
      <c r="I49" s="10">
        <v>1067.2</v>
      </c>
      <c r="J49" s="10">
        <v>3724.6</v>
      </c>
      <c r="K49" s="10">
        <v>2070.6</v>
      </c>
      <c r="L49" s="10">
        <v>1226.8</v>
      </c>
      <c r="M49" s="10">
        <v>1784.9</v>
      </c>
      <c r="N49" s="10">
        <v>3310.3</v>
      </c>
      <c r="O49" s="10">
        <v>3061.6</v>
      </c>
      <c r="P49" s="10">
        <v>1725.5</v>
      </c>
    </row>
    <row r="50" spans="2:16" s="8" customFormat="1" ht="34.9" hidden="1" customHeight="1">
      <c r="B50" s="14">
        <v>39326</v>
      </c>
      <c r="C50" s="7">
        <v>4515.8</v>
      </c>
      <c r="D50" s="6">
        <v>4261.3</v>
      </c>
      <c r="E50" s="6">
        <v>3588</v>
      </c>
      <c r="F50" s="6">
        <v>8205.6</v>
      </c>
      <c r="G50" s="6">
        <v>8112.4</v>
      </c>
      <c r="H50" s="7">
        <v>2043.7</v>
      </c>
      <c r="I50" s="6">
        <v>1032</v>
      </c>
      <c r="J50" s="6">
        <v>3557.8</v>
      </c>
      <c r="K50" s="6">
        <v>2078.1</v>
      </c>
      <c r="L50" s="6">
        <v>1209.0999999999999</v>
      </c>
      <c r="M50" s="6">
        <v>1802.2</v>
      </c>
      <c r="N50" s="6">
        <v>3224.1</v>
      </c>
      <c r="O50" s="6">
        <v>3049.6</v>
      </c>
      <c r="P50" s="6">
        <v>1921.3</v>
      </c>
    </row>
    <row r="51" spans="2:16" s="8" customFormat="1" ht="34.9" hidden="1" customHeight="1">
      <c r="B51" s="15">
        <v>39356</v>
      </c>
      <c r="C51" s="11">
        <v>5007.5</v>
      </c>
      <c r="D51" s="10">
        <v>4772</v>
      </c>
      <c r="E51" s="10">
        <v>3576.9</v>
      </c>
      <c r="F51" s="10">
        <v>9339.2000000000007</v>
      </c>
      <c r="G51" s="10">
        <v>8759.1</v>
      </c>
      <c r="H51" s="11">
        <v>2176.9</v>
      </c>
      <c r="I51" s="10">
        <v>1035.9000000000001</v>
      </c>
      <c r="J51" s="10">
        <v>3495.3</v>
      </c>
      <c r="K51" s="10">
        <v>2134.1</v>
      </c>
      <c r="L51" s="10">
        <v>1338.1</v>
      </c>
      <c r="M51" s="10">
        <v>1925.6</v>
      </c>
      <c r="N51" s="10">
        <v>3757.3</v>
      </c>
      <c r="O51" s="10">
        <v>3498</v>
      </c>
      <c r="P51" s="10">
        <v>1855.1</v>
      </c>
    </row>
    <row r="52" spans="2:16" s="8" customFormat="1" ht="34.9" hidden="1" customHeight="1">
      <c r="B52" s="14">
        <v>39387</v>
      </c>
      <c r="C52" s="7">
        <v>5008.8999999999996</v>
      </c>
      <c r="D52" s="6">
        <v>4893.2</v>
      </c>
      <c r="E52" s="6">
        <v>3568</v>
      </c>
      <c r="F52" s="6">
        <v>9203.7999999999993</v>
      </c>
      <c r="G52" s="6">
        <v>8117</v>
      </c>
      <c r="H52" s="7">
        <v>2209.8000000000002</v>
      </c>
      <c r="I52" s="6">
        <v>1021</v>
      </c>
      <c r="J52" s="6">
        <v>3271.2</v>
      </c>
      <c r="K52" s="6">
        <v>2083.6999999999998</v>
      </c>
      <c r="L52" s="6">
        <v>1383.4</v>
      </c>
      <c r="M52" s="6">
        <v>2206.3000000000002</v>
      </c>
      <c r="N52" s="6">
        <v>3736.8</v>
      </c>
      <c r="O52" s="6">
        <v>3640</v>
      </c>
      <c r="P52" s="6">
        <v>1812.3</v>
      </c>
    </row>
    <row r="53" spans="2:16" s="8" customFormat="1" ht="34.9" hidden="1" customHeight="1">
      <c r="B53" s="15">
        <v>39417</v>
      </c>
      <c r="C53" s="11">
        <v>5131</v>
      </c>
      <c r="D53" s="10">
        <v>5122.2</v>
      </c>
      <c r="E53" s="10">
        <v>3690.1</v>
      </c>
      <c r="F53" s="10">
        <v>9149</v>
      </c>
      <c r="G53" s="10">
        <v>7823.7</v>
      </c>
      <c r="H53" s="11">
        <v>2460.3000000000002</v>
      </c>
      <c r="I53" s="10">
        <v>961.8</v>
      </c>
      <c r="J53" s="10">
        <v>3280.4</v>
      </c>
      <c r="K53" s="10">
        <v>2181.9</v>
      </c>
      <c r="L53" s="10">
        <v>1363.1</v>
      </c>
      <c r="M53" s="10">
        <v>2392.6999999999998</v>
      </c>
      <c r="N53" s="10">
        <v>3858.9</v>
      </c>
      <c r="O53" s="10">
        <v>4699.7</v>
      </c>
      <c r="P53" s="10">
        <v>1889.5</v>
      </c>
    </row>
    <row r="54" spans="2:16" s="8" customFormat="1" ht="34.9" hidden="1" customHeight="1">
      <c r="B54" s="3">
        <v>2008</v>
      </c>
      <c r="C54" s="13"/>
      <c r="D54" s="12"/>
      <c r="E54" s="12"/>
      <c r="F54" s="12"/>
      <c r="G54" s="12"/>
      <c r="H54" s="13"/>
      <c r="I54" s="12"/>
      <c r="J54" s="12"/>
      <c r="K54" s="12"/>
      <c r="L54" s="12"/>
      <c r="M54" s="12"/>
      <c r="N54" s="12"/>
      <c r="O54" s="12"/>
      <c r="P54" s="12"/>
    </row>
    <row r="55" spans="2:16" s="8" customFormat="1" ht="34.9" hidden="1" customHeight="1">
      <c r="B55" s="14">
        <v>39448</v>
      </c>
      <c r="C55" s="7">
        <v>5258.7</v>
      </c>
      <c r="D55" s="6">
        <v>5319.5</v>
      </c>
      <c r="E55" s="6">
        <v>3670</v>
      </c>
      <c r="F55" s="6">
        <v>9083.7999999999993</v>
      </c>
      <c r="G55" s="6">
        <v>8017.3</v>
      </c>
      <c r="H55" s="7">
        <v>2659.5</v>
      </c>
      <c r="I55" s="6">
        <v>971.9</v>
      </c>
      <c r="J55" s="6">
        <v>3349</v>
      </c>
      <c r="K55" s="6">
        <v>2211.6999999999998</v>
      </c>
      <c r="L55" s="6">
        <v>1330.3</v>
      </c>
      <c r="M55" s="6">
        <v>2337.1999999999998</v>
      </c>
      <c r="N55" s="6">
        <v>4084.3</v>
      </c>
      <c r="O55" s="6">
        <v>5769.3</v>
      </c>
      <c r="P55" s="6">
        <v>1871.7</v>
      </c>
    </row>
    <row r="56" spans="2:16" s="8" customFormat="1" ht="34.9" hidden="1" customHeight="1">
      <c r="B56" s="15">
        <v>39479</v>
      </c>
      <c r="C56" s="11">
        <v>5237</v>
      </c>
      <c r="D56" s="10">
        <v>5395.1</v>
      </c>
      <c r="E56" s="10">
        <v>3644</v>
      </c>
      <c r="F56" s="10">
        <v>8661.7999999999993</v>
      </c>
      <c r="G56" s="10">
        <v>5885.7</v>
      </c>
      <c r="H56" s="11">
        <v>2808.1</v>
      </c>
      <c r="I56" s="10">
        <v>1043.3</v>
      </c>
      <c r="J56" s="10">
        <v>3396.7</v>
      </c>
      <c r="K56" s="10">
        <v>2154.6999999999998</v>
      </c>
      <c r="L56" s="10">
        <v>1316.2</v>
      </c>
      <c r="M56" s="10">
        <v>2560</v>
      </c>
      <c r="N56" s="10">
        <v>4148.3999999999996</v>
      </c>
      <c r="O56" s="10">
        <v>6506.7</v>
      </c>
      <c r="P56" s="10">
        <v>1798</v>
      </c>
    </row>
    <row r="57" spans="2:16" s="8" customFormat="1" ht="34.9" hidden="1" customHeight="1">
      <c r="B57" s="14">
        <v>39508</v>
      </c>
      <c r="C57" s="7">
        <v>4997.1000000000004</v>
      </c>
      <c r="D57" s="6">
        <v>4995.5</v>
      </c>
      <c r="E57" s="6">
        <v>3582.8</v>
      </c>
      <c r="F57" s="6">
        <v>8450.4</v>
      </c>
      <c r="G57" s="6">
        <v>8002.1</v>
      </c>
      <c r="H57" s="7">
        <v>2850.3</v>
      </c>
      <c r="I57" s="6">
        <v>1110.8</v>
      </c>
      <c r="J57" s="6">
        <v>3005.8</v>
      </c>
      <c r="K57" s="6">
        <v>2174.5</v>
      </c>
      <c r="L57" s="6">
        <v>1368</v>
      </c>
      <c r="M57" s="6">
        <v>2462.6999999999998</v>
      </c>
      <c r="N57" s="6">
        <v>4012.6</v>
      </c>
      <c r="O57" s="6">
        <v>6986.5</v>
      </c>
      <c r="P57" s="6">
        <v>1743</v>
      </c>
    </row>
    <row r="58" spans="2:16" s="8" customFormat="1" ht="34.9" hidden="1" customHeight="1">
      <c r="B58" s="15">
        <v>39539</v>
      </c>
      <c r="C58" s="11">
        <v>5054.7</v>
      </c>
      <c r="D58" s="10">
        <v>5028.5</v>
      </c>
      <c r="E58" s="10">
        <v>3613.1</v>
      </c>
      <c r="F58" s="10">
        <v>8474.4</v>
      </c>
      <c r="G58" s="10">
        <v>8282.2000000000007</v>
      </c>
      <c r="H58" s="11">
        <v>3085.3</v>
      </c>
      <c r="I58" s="10">
        <v>996.7</v>
      </c>
      <c r="J58" s="10">
        <v>3061.6</v>
      </c>
      <c r="K58" s="10">
        <v>2260.6999999999998</v>
      </c>
      <c r="L58" s="10">
        <v>1418.6</v>
      </c>
      <c r="M58" s="10">
        <v>2407.4</v>
      </c>
      <c r="N58" s="10">
        <v>3796.4</v>
      </c>
      <c r="O58" s="10">
        <v>8218</v>
      </c>
      <c r="P58" s="10">
        <v>1743.4</v>
      </c>
    </row>
    <row r="59" spans="2:16" s="8" customFormat="1" ht="34.9" hidden="1" customHeight="1">
      <c r="B59" s="14">
        <v>39569</v>
      </c>
      <c r="C59" s="7">
        <v>5223.17</v>
      </c>
      <c r="D59" s="6">
        <v>5182.13</v>
      </c>
      <c r="E59" s="6">
        <v>3770.72</v>
      </c>
      <c r="F59" s="6">
        <v>8800</v>
      </c>
      <c r="G59" s="6">
        <v>8564.39</v>
      </c>
      <c r="H59" s="7">
        <v>3239.52</v>
      </c>
      <c r="I59" s="6">
        <v>1073.99</v>
      </c>
      <c r="J59" s="6">
        <v>3038</v>
      </c>
      <c r="K59" s="6">
        <v>2279.41</v>
      </c>
      <c r="L59" s="6">
        <v>1369.47</v>
      </c>
      <c r="M59" s="6">
        <v>2634.92</v>
      </c>
      <c r="N59" s="6">
        <v>3761.67</v>
      </c>
      <c r="O59" s="6">
        <v>8895.83</v>
      </c>
      <c r="P59" s="6">
        <v>1886.46</v>
      </c>
    </row>
    <row r="60" spans="2:16" s="8" customFormat="1" ht="34.9" hidden="1" customHeight="1">
      <c r="B60" s="15">
        <v>39600</v>
      </c>
      <c r="C60" s="11">
        <v>5559</v>
      </c>
      <c r="D60" s="10">
        <v>5578.4</v>
      </c>
      <c r="E60" s="10">
        <v>4179</v>
      </c>
      <c r="F60" s="10">
        <v>9824.2000000000007</v>
      </c>
      <c r="G60" s="10">
        <v>8318.7999999999993</v>
      </c>
      <c r="H60" s="11">
        <v>3366.7</v>
      </c>
      <c r="I60" s="10">
        <v>1101.4000000000001</v>
      </c>
      <c r="J60" s="10">
        <v>3146.6</v>
      </c>
      <c r="K60" s="10">
        <v>2408.5</v>
      </c>
      <c r="L60" s="10">
        <v>1460.6</v>
      </c>
      <c r="M60" s="10">
        <v>2511.3000000000002</v>
      </c>
      <c r="N60" s="10">
        <v>3964.5</v>
      </c>
      <c r="O60" s="10">
        <v>9141.9</v>
      </c>
      <c r="P60" s="10">
        <v>2364.8000000000002</v>
      </c>
    </row>
    <row r="61" spans="2:16" s="8" customFormat="1" ht="34.9" hidden="1" customHeight="1">
      <c r="B61" s="14">
        <v>39630</v>
      </c>
      <c r="C61" s="7">
        <v>5573.8</v>
      </c>
      <c r="D61" s="6">
        <v>5748.3</v>
      </c>
      <c r="E61" s="6">
        <v>4011.9</v>
      </c>
      <c r="F61" s="6">
        <v>9447.2000000000007</v>
      </c>
      <c r="G61" s="6">
        <v>8077.6</v>
      </c>
      <c r="H61" s="7">
        <v>3070.1</v>
      </c>
      <c r="I61" s="6">
        <v>1026.9000000000001</v>
      </c>
      <c r="J61" s="6">
        <v>3161.3</v>
      </c>
      <c r="K61" s="6">
        <v>2315.8000000000002</v>
      </c>
      <c r="L61" s="6">
        <v>1376.7</v>
      </c>
      <c r="M61" s="6">
        <v>2418.5</v>
      </c>
      <c r="N61" s="6">
        <v>3911.9</v>
      </c>
      <c r="O61" s="6">
        <v>7830.3</v>
      </c>
      <c r="P61" s="6">
        <v>2215.8000000000002</v>
      </c>
    </row>
    <row r="62" spans="2:16" s="8" customFormat="1" ht="34.9" hidden="1" customHeight="1">
      <c r="B62" s="15">
        <v>39661</v>
      </c>
      <c r="C62" s="11">
        <v>5450.15</v>
      </c>
      <c r="D62" s="10">
        <v>5563.64</v>
      </c>
      <c r="E62" s="10">
        <v>4001.04</v>
      </c>
      <c r="F62" s="10">
        <v>9380.92</v>
      </c>
      <c r="G62" s="10">
        <v>7986.63</v>
      </c>
      <c r="H62" s="11">
        <v>2950.09</v>
      </c>
      <c r="I62" s="10">
        <v>985.16</v>
      </c>
      <c r="J62" s="10">
        <v>3118.18</v>
      </c>
      <c r="K62" s="10">
        <v>2323.36</v>
      </c>
      <c r="L62" s="10">
        <v>1389.91</v>
      </c>
      <c r="M62" s="10">
        <v>2331.94</v>
      </c>
      <c r="N62" s="10">
        <v>3768.75</v>
      </c>
      <c r="O62" s="10">
        <v>7291.56</v>
      </c>
      <c r="P62" s="10">
        <v>2127.31</v>
      </c>
    </row>
    <row r="63" spans="2:16" s="8" customFormat="1" ht="34.9" hidden="1" customHeight="1">
      <c r="B63" s="14">
        <v>39692</v>
      </c>
      <c r="C63" s="7">
        <v>5093.5</v>
      </c>
      <c r="D63" s="6">
        <v>5286.9</v>
      </c>
      <c r="E63" s="6">
        <v>3929.55</v>
      </c>
      <c r="F63" s="6">
        <v>8757.61</v>
      </c>
      <c r="G63" s="6">
        <v>6999.79</v>
      </c>
      <c r="H63" s="7">
        <v>2717.35</v>
      </c>
      <c r="I63" s="6">
        <v>977.03</v>
      </c>
      <c r="J63" s="6">
        <v>2994.7</v>
      </c>
      <c r="K63" s="6">
        <v>2267.87</v>
      </c>
      <c r="L63" s="6">
        <v>1343.03</v>
      </c>
      <c r="M63" s="6">
        <v>2199.83</v>
      </c>
      <c r="N63" s="6">
        <v>3721.28</v>
      </c>
      <c r="O63" s="6">
        <v>6307.98</v>
      </c>
      <c r="P63" s="6">
        <v>2036.42</v>
      </c>
    </row>
    <row r="64" spans="2:16" s="8" customFormat="1" ht="34.9" hidden="1" customHeight="1">
      <c r="B64" s="15">
        <v>39722</v>
      </c>
      <c r="C64" s="11">
        <v>4352.17</v>
      </c>
      <c r="D64" s="10">
        <v>4784.21</v>
      </c>
      <c r="E64" s="10">
        <v>3461.1</v>
      </c>
      <c r="F64" s="10">
        <v>6568.83</v>
      </c>
      <c r="G64" s="10">
        <v>5480.44</v>
      </c>
      <c r="H64" s="11">
        <v>2157.71</v>
      </c>
      <c r="I64" s="10">
        <v>868.17</v>
      </c>
      <c r="J64" s="10">
        <v>2712.73</v>
      </c>
      <c r="K64" s="10">
        <v>2135.31</v>
      </c>
      <c r="L64" s="10">
        <v>1140.98</v>
      </c>
      <c r="M64" s="10">
        <v>1817.89</v>
      </c>
      <c r="N64" s="10">
        <v>3398.86</v>
      </c>
      <c r="O64" s="10">
        <v>4198.3900000000003</v>
      </c>
      <c r="P64" s="10">
        <v>1794.12</v>
      </c>
    </row>
    <row r="65" spans="2:16" s="8" customFormat="1" ht="34.9" hidden="1" customHeight="1">
      <c r="B65" s="14">
        <v>39753</v>
      </c>
      <c r="C65" s="7">
        <v>3735.1</v>
      </c>
      <c r="D65" s="6">
        <v>4217.1000000000004</v>
      </c>
      <c r="E65" s="6">
        <v>3327.3</v>
      </c>
      <c r="F65" s="6">
        <v>5121.8999999999996</v>
      </c>
      <c r="G65" s="6">
        <v>4420.3999999999996</v>
      </c>
      <c r="H65" s="7">
        <v>1996.2</v>
      </c>
      <c r="I65" s="6">
        <v>805.8</v>
      </c>
      <c r="J65" s="6">
        <v>2895.8</v>
      </c>
      <c r="K65" s="6">
        <v>1859.2</v>
      </c>
      <c r="L65" s="6">
        <v>873</v>
      </c>
      <c r="M65" s="6">
        <v>1856.7</v>
      </c>
      <c r="N65" s="6">
        <v>2972.4</v>
      </c>
      <c r="O65" s="6">
        <v>3950.4</v>
      </c>
      <c r="P65" s="6">
        <v>1551.7</v>
      </c>
    </row>
    <row r="66" spans="2:16" s="8" customFormat="1" ht="34.9" hidden="1" customHeight="1">
      <c r="B66" s="15">
        <v>39783</v>
      </c>
      <c r="C66" s="11">
        <v>3609.1</v>
      </c>
      <c r="D66" s="10">
        <v>4196.3</v>
      </c>
      <c r="E66" s="10">
        <v>3231.1</v>
      </c>
      <c r="F66" s="10">
        <v>4796.2</v>
      </c>
      <c r="G66" s="10">
        <v>3879</v>
      </c>
      <c r="H66" s="11">
        <v>2025.6</v>
      </c>
      <c r="I66" s="10">
        <v>881.7</v>
      </c>
      <c r="J66" s="10">
        <v>3275.9</v>
      </c>
      <c r="K66" s="10">
        <v>1997.5</v>
      </c>
      <c r="L66" s="10">
        <v>850</v>
      </c>
      <c r="M66" s="10">
        <v>1726</v>
      </c>
      <c r="N66" s="10">
        <v>3031.6</v>
      </c>
      <c r="O66" s="10">
        <v>3863.5</v>
      </c>
      <c r="P66" s="10">
        <v>1490.4</v>
      </c>
    </row>
    <row r="67" spans="2:16" s="8" customFormat="1" ht="34.9" hidden="1" customHeight="1">
      <c r="B67" s="3">
        <v>2009</v>
      </c>
      <c r="C67" s="13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  <c r="O67" s="12"/>
      <c r="P67" s="12"/>
    </row>
    <row r="68" spans="2:16" s="8" customFormat="1" ht="34.9" hidden="1" customHeight="1">
      <c r="B68" s="14">
        <v>39814</v>
      </c>
      <c r="C68" s="7">
        <v>3524.2</v>
      </c>
      <c r="D68" s="6">
        <v>4063.9</v>
      </c>
      <c r="E68" s="6">
        <v>3091.5</v>
      </c>
      <c r="F68" s="6">
        <v>4609.6000000000004</v>
      </c>
      <c r="G68" s="6">
        <v>4016.6</v>
      </c>
      <c r="H68" s="7">
        <v>1949.1</v>
      </c>
      <c r="I68" s="6">
        <v>770.8</v>
      </c>
      <c r="J68" s="6">
        <v>2952</v>
      </c>
      <c r="K68" s="6">
        <v>1927.3</v>
      </c>
      <c r="L68" s="6">
        <v>888.7</v>
      </c>
      <c r="M68" s="6">
        <v>1742.8</v>
      </c>
      <c r="N68" s="6">
        <v>2664.4</v>
      </c>
      <c r="O68" s="6">
        <v>3791.8</v>
      </c>
      <c r="P68" s="6">
        <v>1341.5</v>
      </c>
    </row>
    <row r="69" spans="2:16" s="8" customFormat="1" ht="34.9" hidden="1" customHeight="1">
      <c r="B69" s="15">
        <v>39845</v>
      </c>
      <c r="C69" s="11">
        <v>3447.22</v>
      </c>
      <c r="D69" s="10">
        <v>3851.56</v>
      </c>
      <c r="E69" s="10">
        <v>3096.99</v>
      </c>
      <c r="F69" s="10">
        <v>4670.7700000000004</v>
      </c>
      <c r="G69" s="10">
        <v>4259.83</v>
      </c>
      <c r="H69" s="11">
        <v>1859.54</v>
      </c>
      <c r="I69" s="10">
        <v>758.32</v>
      </c>
      <c r="J69" s="10">
        <v>2890.48</v>
      </c>
      <c r="K69" s="10">
        <v>1852.87</v>
      </c>
      <c r="L69" s="10">
        <v>820.61</v>
      </c>
      <c r="M69" s="10">
        <v>1742.77</v>
      </c>
      <c r="N69" s="10">
        <v>2910.19</v>
      </c>
      <c r="O69" s="10">
        <v>3414.59</v>
      </c>
      <c r="P69" s="10">
        <v>1428.54</v>
      </c>
    </row>
    <row r="70" spans="2:16" s="8" customFormat="1" ht="34.9" hidden="1" customHeight="1">
      <c r="B70" s="14">
        <v>39873</v>
      </c>
      <c r="C70" s="7">
        <v>3447.22</v>
      </c>
      <c r="D70" s="6">
        <v>3712.22</v>
      </c>
      <c r="E70" s="6">
        <v>3126.32</v>
      </c>
      <c r="F70" s="6">
        <v>4986.53</v>
      </c>
      <c r="G70" s="6">
        <v>4551.38</v>
      </c>
      <c r="H70" s="7">
        <v>2044.67</v>
      </c>
      <c r="I70" s="6">
        <v>843.3</v>
      </c>
      <c r="J70" s="6">
        <v>2943.22</v>
      </c>
      <c r="K70" s="6">
        <v>1848.25</v>
      </c>
      <c r="L70" s="6">
        <v>860.68</v>
      </c>
      <c r="M70" s="6">
        <v>1893.04</v>
      </c>
      <c r="N70" s="6">
        <v>2653.87</v>
      </c>
      <c r="O70" s="6">
        <v>4164.29</v>
      </c>
      <c r="P70" s="6">
        <v>1732.05</v>
      </c>
    </row>
    <row r="71" spans="2:16" s="8" customFormat="1" ht="34.9" hidden="1" customHeight="1">
      <c r="B71" s="15">
        <v>39904</v>
      </c>
      <c r="C71" s="11">
        <v>3572.34</v>
      </c>
      <c r="D71" s="10">
        <v>3760.6</v>
      </c>
      <c r="E71" s="10">
        <v>3214.1</v>
      </c>
      <c r="F71" s="10">
        <v>5861.48</v>
      </c>
      <c r="G71" s="10">
        <v>4509.37</v>
      </c>
      <c r="H71" s="11">
        <v>2029.37</v>
      </c>
      <c r="I71" s="10">
        <v>803.82</v>
      </c>
      <c r="J71" s="10">
        <v>2766.1</v>
      </c>
      <c r="K71" s="10">
        <v>1859.1</v>
      </c>
      <c r="L71" s="10">
        <v>927.62</v>
      </c>
      <c r="M71" s="10">
        <v>1767.12</v>
      </c>
      <c r="N71" s="10">
        <v>2635.58</v>
      </c>
      <c r="O71" s="10">
        <v>4191.3</v>
      </c>
      <c r="P71" s="10">
        <v>1714.17</v>
      </c>
    </row>
    <row r="72" spans="2:16" s="8" customFormat="1" ht="34.9" hidden="1" customHeight="1">
      <c r="B72" s="14">
        <v>39934</v>
      </c>
      <c r="C72" s="7">
        <v>3619.3</v>
      </c>
      <c r="D72" s="6">
        <v>3988.7</v>
      </c>
      <c r="E72" s="6">
        <v>3237.1</v>
      </c>
      <c r="F72" s="6">
        <v>5186.8</v>
      </c>
      <c r="G72" s="6">
        <v>4474.6000000000004</v>
      </c>
      <c r="H72" s="7">
        <v>2032.9</v>
      </c>
      <c r="I72" s="6">
        <v>778.6</v>
      </c>
      <c r="J72" s="6">
        <v>2664.4</v>
      </c>
      <c r="K72" s="6">
        <v>1845.5</v>
      </c>
      <c r="L72" s="6">
        <v>895.5</v>
      </c>
      <c r="M72" s="6">
        <v>1756.2</v>
      </c>
      <c r="N72" s="6">
        <v>2570.9</v>
      </c>
      <c r="O72" s="6">
        <v>4356</v>
      </c>
      <c r="P72" s="6">
        <v>1672.2</v>
      </c>
    </row>
    <row r="73" spans="2:16" s="8" customFormat="1" ht="34.9" hidden="1" customHeight="1">
      <c r="B73" s="15">
        <v>39965</v>
      </c>
      <c r="C73" s="11">
        <v>3407.9</v>
      </c>
      <c r="D73" s="10">
        <v>3879.7</v>
      </c>
      <c r="E73" s="10">
        <v>3077.2</v>
      </c>
      <c r="F73" s="10">
        <v>4569.8</v>
      </c>
      <c r="G73" s="10">
        <v>3957.9</v>
      </c>
      <c r="H73" s="11">
        <v>2052.6</v>
      </c>
      <c r="I73" s="10">
        <v>775.9</v>
      </c>
      <c r="J73" s="10">
        <v>2649.8</v>
      </c>
      <c r="K73" s="10">
        <v>1895.3</v>
      </c>
      <c r="L73" s="10">
        <v>822</v>
      </c>
      <c r="M73" s="10">
        <v>1784.1</v>
      </c>
      <c r="N73" s="10">
        <v>2597.8000000000002</v>
      </c>
      <c r="O73" s="10">
        <v>4512.3999999999996</v>
      </c>
      <c r="P73" s="10">
        <v>1582</v>
      </c>
    </row>
    <row r="74" spans="2:16" s="8" customFormat="1" ht="34.9" hidden="1" customHeight="1">
      <c r="B74" s="14">
        <v>39995</v>
      </c>
      <c r="C74" s="7">
        <v>3209</v>
      </c>
      <c r="D74" s="6">
        <v>3700.9</v>
      </c>
      <c r="E74" s="6">
        <v>2870.4</v>
      </c>
      <c r="F74" s="6">
        <v>4264.7</v>
      </c>
      <c r="G74" s="6">
        <v>3600.7</v>
      </c>
      <c r="H74" s="7">
        <v>1984.6</v>
      </c>
      <c r="I74" s="6">
        <v>766.8</v>
      </c>
      <c r="J74" s="6">
        <v>2461.9</v>
      </c>
      <c r="K74" s="6">
        <v>1833.4</v>
      </c>
      <c r="L74" s="6">
        <v>748.2</v>
      </c>
      <c r="M74" s="6">
        <v>1786.7</v>
      </c>
      <c r="N74" s="6">
        <v>2597.5</v>
      </c>
      <c r="O74" s="6">
        <v>4422.8</v>
      </c>
      <c r="P74" s="6">
        <v>1517.1</v>
      </c>
    </row>
    <row r="75" spans="2:16" s="8" customFormat="1" ht="34.9" hidden="1" customHeight="1">
      <c r="B75" s="15">
        <v>40026</v>
      </c>
      <c r="C75" s="11">
        <v>3117.2</v>
      </c>
      <c r="D75" s="10">
        <v>3702</v>
      </c>
      <c r="E75" s="10">
        <v>2755.5</v>
      </c>
      <c r="F75" s="10">
        <v>3988.4</v>
      </c>
      <c r="G75" s="10">
        <v>3257</v>
      </c>
      <c r="H75" s="11">
        <v>1972.6</v>
      </c>
      <c r="I75" s="10">
        <v>779.8</v>
      </c>
      <c r="J75" s="10">
        <v>2467.5</v>
      </c>
      <c r="K75" s="10">
        <v>1738.9</v>
      </c>
      <c r="L75" s="10">
        <v>796.5</v>
      </c>
      <c r="M75" s="10">
        <v>1759.5</v>
      </c>
      <c r="N75" s="10">
        <v>2555.6999999999998</v>
      </c>
      <c r="O75" s="10">
        <v>4430.3</v>
      </c>
      <c r="P75" s="10">
        <v>1475.2</v>
      </c>
    </row>
    <row r="76" spans="2:16" s="8" customFormat="1" ht="34.9" hidden="1" customHeight="1">
      <c r="B76" s="14">
        <v>40057</v>
      </c>
      <c r="C76" s="7">
        <v>3389.6</v>
      </c>
      <c r="D76" s="6">
        <v>3786.7</v>
      </c>
      <c r="E76" s="6">
        <v>2938.5</v>
      </c>
      <c r="F76" s="6">
        <v>4822.8999999999996</v>
      </c>
      <c r="G76" s="6">
        <v>4028.3</v>
      </c>
      <c r="H76" s="7">
        <v>2029.1</v>
      </c>
      <c r="I76" s="6">
        <v>807.5</v>
      </c>
      <c r="J76" s="6">
        <v>2467.6</v>
      </c>
      <c r="K76" s="6">
        <v>1765.3</v>
      </c>
      <c r="L76" s="6">
        <v>883.6</v>
      </c>
      <c r="M76" s="6">
        <v>1835.8</v>
      </c>
      <c r="N76" s="6">
        <v>2559.4</v>
      </c>
      <c r="O76" s="6">
        <v>4433.8</v>
      </c>
      <c r="P76" s="6">
        <v>1752</v>
      </c>
    </row>
    <row r="77" spans="2:16" s="8" customFormat="1" ht="34.9" hidden="1" customHeight="1">
      <c r="B77" s="15">
        <v>40087</v>
      </c>
      <c r="C77" s="11">
        <v>3257</v>
      </c>
      <c r="D77" s="10">
        <v>3786.9</v>
      </c>
      <c r="E77" s="10">
        <v>2861.7</v>
      </c>
      <c r="F77" s="10">
        <v>4420</v>
      </c>
      <c r="G77" s="10">
        <v>3507.6</v>
      </c>
      <c r="H77" s="11">
        <v>2077</v>
      </c>
      <c r="I77" s="10">
        <v>853.7</v>
      </c>
      <c r="J77" s="10">
        <v>2421.5</v>
      </c>
      <c r="K77" s="10">
        <v>1777.9</v>
      </c>
      <c r="L77" s="10">
        <v>962.9</v>
      </c>
      <c r="M77" s="10">
        <v>1804.2</v>
      </c>
      <c r="N77" s="10">
        <v>2653.1</v>
      </c>
      <c r="O77" s="10">
        <v>4665.7</v>
      </c>
      <c r="P77" s="10">
        <v>1610.8</v>
      </c>
    </row>
    <row r="78" spans="2:16" s="8" customFormat="1" ht="34.9" hidden="1" customHeight="1">
      <c r="B78" s="14">
        <v>40118</v>
      </c>
      <c r="C78" s="7">
        <v>3135</v>
      </c>
      <c r="D78" s="6">
        <v>3688.7</v>
      </c>
      <c r="E78" s="6">
        <v>2860.8</v>
      </c>
      <c r="F78" s="6">
        <v>4057.4</v>
      </c>
      <c r="G78" s="6">
        <v>3337.8</v>
      </c>
      <c r="H78" s="7">
        <v>2111.8000000000002</v>
      </c>
      <c r="I78" s="6">
        <v>861.1</v>
      </c>
      <c r="J78" s="6">
        <v>2509.5</v>
      </c>
      <c r="K78" s="6">
        <v>1820.7</v>
      </c>
      <c r="L78" s="6">
        <v>903.8</v>
      </c>
      <c r="M78" s="6">
        <v>1818.5</v>
      </c>
      <c r="N78" s="6">
        <v>2883.8</v>
      </c>
      <c r="O78" s="6">
        <v>4838.7</v>
      </c>
      <c r="P78" s="6">
        <v>1542.3</v>
      </c>
    </row>
    <row r="79" spans="2:16" s="8" customFormat="1" ht="34.9" hidden="1" customHeight="1">
      <c r="B79" s="15">
        <v>40148</v>
      </c>
      <c r="C79" s="11">
        <v>3026.8</v>
      </c>
      <c r="D79" s="10">
        <v>3646.8</v>
      </c>
      <c r="E79" s="10">
        <v>2838</v>
      </c>
      <c r="F79" s="10">
        <v>3618.3</v>
      </c>
      <c r="G79" s="10">
        <v>3131</v>
      </c>
      <c r="H79" s="11">
        <v>2107.9</v>
      </c>
      <c r="I79" s="10">
        <v>821.1</v>
      </c>
      <c r="J79" s="10">
        <v>2643</v>
      </c>
      <c r="K79" s="10">
        <v>1784.1</v>
      </c>
      <c r="L79" s="10">
        <v>914</v>
      </c>
      <c r="M79" s="10">
        <v>1792</v>
      </c>
      <c r="N79" s="10">
        <v>2806.7</v>
      </c>
      <c r="O79" s="10">
        <v>4795.5</v>
      </c>
      <c r="P79" s="10">
        <v>1557.9</v>
      </c>
    </row>
    <row r="80" spans="2:16" s="8" customFormat="1" ht="34.9" hidden="1" customHeight="1">
      <c r="B80" s="3">
        <v>2010</v>
      </c>
      <c r="C80" s="13"/>
      <c r="D80" s="12"/>
      <c r="E80" s="12"/>
      <c r="F80" s="12"/>
      <c r="G80" s="12"/>
      <c r="H80" s="13"/>
      <c r="I80" s="12"/>
      <c r="J80" s="12"/>
      <c r="K80" s="12"/>
      <c r="L80" s="12"/>
      <c r="M80" s="12"/>
      <c r="N80" s="12"/>
      <c r="O80" s="12"/>
      <c r="P80" s="12"/>
    </row>
    <row r="81" spans="2:16" s="8" customFormat="1" ht="34.9" hidden="1" customHeight="1">
      <c r="B81" s="14">
        <v>40179</v>
      </c>
      <c r="C81" s="7">
        <v>3011.6</v>
      </c>
      <c r="D81" s="6">
        <v>3645.9</v>
      </c>
      <c r="E81" s="6">
        <v>2756.3</v>
      </c>
      <c r="F81" s="6">
        <v>3521</v>
      </c>
      <c r="G81" s="6">
        <v>3151.1</v>
      </c>
      <c r="H81" s="7">
        <v>2097.1999999999998</v>
      </c>
      <c r="I81" s="6">
        <v>792.2</v>
      </c>
      <c r="J81" s="6">
        <v>2547</v>
      </c>
      <c r="K81" s="6">
        <v>1857.1</v>
      </c>
      <c r="L81" s="6">
        <v>908.4</v>
      </c>
      <c r="M81" s="6">
        <v>1848.8</v>
      </c>
      <c r="N81" s="6">
        <v>2907</v>
      </c>
      <c r="O81" s="6">
        <v>4802.2</v>
      </c>
      <c r="P81" s="6">
        <v>1318</v>
      </c>
    </row>
    <row r="82" spans="2:16" s="8" customFormat="1" ht="34.9" hidden="1" customHeight="1">
      <c r="B82" s="15">
        <v>40210</v>
      </c>
      <c r="C82" s="11">
        <v>2972.1</v>
      </c>
      <c r="D82" s="10">
        <v>3655.5</v>
      </c>
      <c r="E82" s="10">
        <v>2663.2</v>
      </c>
      <c r="F82" s="10">
        <v>3458.8</v>
      </c>
      <c r="G82" s="10">
        <v>2944.5</v>
      </c>
      <c r="H82" s="11">
        <v>2051.5</v>
      </c>
      <c r="I82" s="10">
        <v>796.1</v>
      </c>
      <c r="J82" s="10">
        <v>2630</v>
      </c>
      <c r="K82" s="10">
        <v>1873.3</v>
      </c>
      <c r="L82" s="10">
        <v>874.4</v>
      </c>
      <c r="M82" s="10">
        <v>1868.6</v>
      </c>
      <c r="N82" s="10">
        <v>2481.1</v>
      </c>
      <c r="O82" s="10">
        <v>4645.2</v>
      </c>
      <c r="P82" s="10">
        <v>1210.5999999999999</v>
      </c>
    </row>
    <row r="83" spans="2:16" s="8" customFormat="1" ht="34.9" hidden="1" customHeight="1">
      <c r="B83" s="14">
        <v>40238</v>
      </c>
      <c r="C83" s="7">
        <v>3029.3</v>
      </c>
      <c r="D83" s="6">
        <v>3589.6</v>
      </c>
      <c r="E83" s="6">
        <v>2718</v>
      </c>
      <c r="F83" s="6">
        <v>3928.5</v>
      </c>
      <c r="G83" s="6">
        <v>3142.4</v>
      </c>
      <c r="H83" s="7">
        <v>2100.1999999999998</v>
      </c>
      <c r="I83" s="6">
        <v>806.3</v>
      </c>
      <c r="J83" s="6">
        <v>2744</v>
      </c>
      <c r="K83" s="6">
        <v>1884.1</v>
      </c>
      <c r="L83" s="6">
        <v>911.2</v>
      </c>
      <c r="M83" s="6">
        <v>1859.5</v>
      </c>
      <c r="N83" s="6">
        <v>2699.8</v>
      </c>
      <c r="O83" s="6">
        <v>4635.1000000000004</v>
      </c>
      <c r="P83" s="6">
        <v>1441.8</v>
      </c>
    </row>
    <row r="84" spans="2:16" s="8" customFormat="1" ht="34.9" hidden="1" customHeight="1">
      <c r="B84" s="15">
        <v>40269</v>
      </c>
      <c r="C84" s="11">
        <v>3166.1</v>
      </c>
      <c r="D84" s="10">
        <v>3699</v>
      </c>
      <c r="E84" s="10">
        <v>2695</v>
      </c>
      <c r="F84" s="10">
        <v>4378.6000000000004</v>
      </c>
      <c r="G84" s="10">
        <v>3310.9</v>
      </c>
      <c r="H84" s="11">
        <v>2042.6</v>
      </c>
      <c r="I84" s="10">
        <v>802.5</v>
      </c>
      <c r="J84" s="10">
        <v>2538.9</v>
      </c>
      <c r="K84" s="10">
        <v>1788.3</v>
      </c>
      <c r="L84" s="10">
        <v>881.6</v>
      </c>
      <c r="M84" s="10">
        <v>1784</v>
      </c>
      <c r="N84" s="10">
        <v>2489.9</v>
      </c>
      <c r="O84" s="10">
        <v>4581.3999999999996</v>
      </c>
      <c r="P84" s="10">
        <v>1543.8</v>
      </c>
    </row>
    <row r="85" spans="2:16" s="8" customFormat="1" ht="34.9" hidden="1" customHeight="1">
      <c r="B85" s="14">
        <v>40299</v>
      </c>
      <c r="C85" s="7">
        <v>2947</v>
      </c>
      <c r="D85" s="6">
        <v>3625.4</v>
      </c>
      <c r="E85" s="6">
        <v>2606.1</v>
      </c>
      <c r="F85" s="6">
        <v>3689.6</v>
      </c>
      <c r="G85" s="6">
        <v>2728.8</v>
      </c>
      <c r="H85" s="7">
        <v>1969.1</v>
      </c>
      <c r="I85" s="6">
        <v>774.5</v>
      </c>
      <c r="J85" s="6">
        <v>2506.1999999999998</v>
      </c>
      <c r="K85" s="6">
        <v>1790.3</v>
      </c>
      <c r="L85" s="6">
        <v>793.4</v>
      </c>
      <c r="M85" s="6">
        <v>1697</v>
      </c>
      <c r="N85" s="6">
        <v>2531</v>
      </c>
      <c r="O85" s="6">
        <v>4489.2</v>
      </c>
      <c r="P85" s="6">
        <v>1330.3</v>
      </c>
    </row>
    <row r="86" spans="2:16" s="8" customFormat="1" ht="34.9" hidden="1" customHeight="1">
      <c r="B86" s="15">
        <v>40330</v>
      </c>
      <c r="C86" s="11">
        <v>2871.31</v>
      </c>
      <c r="D86" s="10">
        <v>3651.24</v>
      </c>
      <c r="E86" s="10">
        <v>2514.8000000000002</v>
      </c>
      <c r="F86" s="10">
        <v>3412.87</v>
      </c>
      <c r="G86" s="10">
        <v>2415.29</v>
      </c>
      <c r="H86" s="11">
        <v>1932.83</v>
      </c>
      <c r="I86" s="10">
        <v>834.47</v>
      </c>
      <c r="J86" s="10">
        <v>2486.46</v>
      </c>
      <c r="K86" s="10">
        <v>1707.71</v>
      </c>
      <c r="L86" s="10">
        <v>754.54</v>
      </c>
      <c r="M86" s="10">
        <v>1717.35</v>
      </c>
      <c r="N86" s="10">
        <v>2291.81</v>
      </c>
      <c r="O86" s="10">
        <v>4456.75</v>
      </c>
      <c r="P86" s="10">
        <v>1311.78</v>
      </c>
    </row>
    <row r="87" spans="2:16" s="8" customFormat="1" ht="34.9" hidden="1" customHeight="1">
      <c r="B87" s="14">
        <v>40360</v>
      </c>
      <c r="C87" s="7">
        <v>2875.98</v>
      </c>
      <c r="D87" s="6">
        <v>3635.08</v>
      </c>
      <c r="E87" s="6">
        <v>2455.6</v>
      </c>
      <c r="F87" s="6">
        <v>3439.28</v>
      </c>
      <c r="G87" s="6">
        <v>2504.64</v>
      </c>
      <c r="H87" s="7">
        <v>1944.52</v>
      </c>
      <c r="I87" s="6">
        <v>837.79</v>
      </c>
      <c r="J87" s="6">
        <v>2518.2199999999998</v>
      </c>
      <c r="K87" s="6">
        <v>1784.17</v>
      </c>
      <c r="L87" s="6">
        <v>763.67</v>
      </c>
      <c r="M87" s="6">
        <v>1724.79</v>
      </c>
      <c r="N87" s="6">
        <v>2314.7800000000002</v>
      </c>
      <c r="O87" s="6">
        <v>4384.66</v>
      </c>
      <c r="P87" s="6">
        <v>1340.42</v>
      </c>
    </row>
    <row r="88" spans="2:16" s="8" customFormat="1" ht="34.9" hidden="1" customHeight="1">
      <c r="B88" s="15">
        <v>40391</v>
      </c>
      <c r="C88" s="11">
        <v>2756.87</v>
      </c>
      <c r="D88" s="10">
        <v>3565.18</v>
      </c>
      <c r="E88" s="10">
        <v>2391.4499999999998</v>
      </c>
      <c r="F88" s="10">
        <v>3079.56</v>
      </c>
      <c r="G88" s="10">
        <v>2295.3200000000002</v>
      </c>
      <c r="H88" s="11">
        <v>1928.39</v>
      </c>
      <c r="I88" s="10">
        <v>842.48</v>
      </c>
      <c r="J88" s="10">
        <v>2461.59</v>
      </c>
      <c r="K88" s="10">
        <v>1796.19</v>
      </c>
      <c r="L88" s="10">
        <v>752.89</v>
      </c>
      <c r="M88" s="10">
        <v>1721.77</v>
      </c>
      <c r="N88" s="10">
        <v>2323.96</v>
      </c>
      <c r="O88" s="10">
        <v>4285.1499999999996</v>
      </c>
      <c r="P88" s="10">
        <v>1396.74</v>
      </c>
    </row>
    <row r="89" spans="2:16" s="8" customFormat="1" ht="34.9" hidden="1" customHeight="1">
      <c r="B89" s="14">
        <v>40422</v>
      </c>
      <c r="C89" s="7">
        <v>2818.4</v>
      </c>
      <c r="D89" s="6">
        <v>3619.7</v>
      </c>
      <c r="E89" s="6">
        <v>2342.9</v>
      </c>
      <c r="F89" s="6">
        <v>3203.4</v>
      </c>
      <c r="G89" s="6">
        <v>2427.8000000000002</v>
      </c>
      <c r="H89" s="7">
        <v>1967.2</v>
      </c>
      <c r="I89" s="6">
        <v>893.3</v>
      </c>
      <c r="J89" s="6">
        <v>2500.1999999999998</v>
      </c>
      <c r="K89" s="6">
        <v>1778.7</v>
      </c>
      <c r="L89" s="6">
        <v>825.2</v>
      </c>
      <c r="M89" s="6">
        <v>1755</v>
      </c>
      <c r="N89" s="6">
        <v>2321.6999999999998</v>
      </c>
      <c r="O89" s="6">
        <v>4354.8999999999996</v>
      </c>
      <c r="P89" s="6">
        <v>1414.9</v>
      </c>
    </row>
    <row r="90" spans="2:16" s="8" customFormat="1" ht="34.9" hidden="1" customHeight="1">
      <c r="B90" s="15">
        <v>40452</v>
      </c>
      <c r="C90" s="11">
        <v>2853.3</v>
      </c>
      <c r="D90" s="10">
        <v>3761.5</v>
      </c>
      <c r="E90" s="10">
        <v>2350.6999999999998</v>
      </c>
      <c r="F90" s="10">
        <v>3065.7</v>
      </c>
      <c r="G90" s="10">
        <v>2287.3000000000002</v>
      </c>
      <c r="H90" s="11">
        <v>1939.6</v>
      </c>
      <c r="I90" s="10">
        <v>927</v>
      </c>
      <c r="J90" s="10">
        <v>2566.1999999999998</v>
      </c>
      <c r="K90" s="10">
        <v>1668.2</v>
      </c>
      <c r="L90" s="10">
        <v>738.4</v>
      </c>
      <c r="M90" s="10">
        <v>1751.9</v>
      </c>
      <c r="N90" s="10">
        <v>2443.1999999999998</v>
      </c>
      <c r="O90" s="10">
        <v>4460.7</v>
      </c>
      <c r="P90" s="10">
        <v>1305.4000000000001</v>
      </c>
    </row>
    <row r="91" spans="2:16" s="8" customFormat="1" ht="34.9" hidden="1" customHeight="1">
      <c r="B91" s="14">
        <v>40483</v>
      </c>
      <c r="C91" s="7">
        <v>2884.2</v>
      </c>
      <c r="D91" s="6">
        <v>3869</v>
      </c>
      <c r="E91" s="6">
        <v>2265.1999999999998</v>
      </c>
      <c r="F91" s="6">
        <v>2894.7</v>
      </c>
      <c r="G91" s="6">
        <v>2305.6999999999998</v>
      </c>
      <c r="H91" s="7">
        <v>1922.3</v>
      </c>
      <c r="I91" s="6">
        <v>954.2</v>
      </c>
      <c r="J91" s="6">
        <v>2650</v>
      </c>
      <c r="K91" s="6">
        <v>1614.3</v>
      </c>
      <c r="L91" s="6">
        <v>758</v>
      </c>
      <c r="M91" s="6">
        <v>1780</v>
      </c>
      <c r="N91" s="6">
        <v>2623.3</v>
      </c>
      <c r="O91" s="6">
        <v>4422.6000000000004</v>
      </c>
      <c r="P91" s="6">
        <v>1104.9000000000001</v>
      </c>
    </row>
    <row r="92" spans="2:16" s="8" customFormat="1" ht="34.9" hidden="1" customHeight="1">
      <c r="B92" s="15">
        <v>40513</v>
      </c>
      <c r="C92" s="11">
        <v>2911.7</v>
      </c>
      <c r="D92" s="10">
        <v>3926.5</v>
      </c>
      <c r="E92" s="10">
        <v>2330.1</v>
      </c>
      <c r="F92" s="10">
        <v>2803.7</v>
      </c>
      <c r="G92" s="10">
        <v>2339.6</v>
      </c>
      <c r="H92" s="11">
        <v>1897.2</v>
      </c>
      <c r="I92" s="10">
        <v>949.2</v>
      </c>
      <c r="J92" s="10">
        <v>2636.3</v>
      </c>
      <c r="K92" s="10">
        <v>1602</v>
      </c>
      <c r="L92" s="10">
        <v>743</v>
      </c>
      <c r="M92" s="10">
        <v>1780.2</v>
      </c>
      <c r="N92" s="10">
        <v>2485.5</v>
      </c>
      <c r="O92" s="10">
        <v>4414.8</v>
      </c>
      <c r="P92" s="10">
        <v>1005.7</v>
      </c>
    </row>
    <row r="93" spans="2:16" s="8" customFormat="1" ht="34.9" hidden="1" customHeight="1">
      <c r="B93" s="3">
        <v>2011</v>
      </c>
      <c r="C93" s="13"/>
      <c r="D93" s="12"/>
      <c r="E93" s="12"/>
      <c r="F93" s="12"/>
      <c r="G93" s="12"/>
      <c r="H93" s="13"/>
      <c r="I93" s="12"/>
      <c r="J93" s="12"/>
      <c r="K93" s="12"/>
      <c r="L93" s="12"/>
      <c r="M93" s="12"/>
      <c r="N93" s="12"/>
      <c r="O93" s="12"/>
      <c r="P93" s="12"/>
    </row>
    <row r="94" spans="2:16" s="8" customFormat="1" ht="34.9" hidden="1" customHeight="1">
      <c r="B94" s="14">
        <v>40544</v>
      </c>
      <c r="C94" s="7">
        <v>2906</v>
      </c>
      <c r="D94" s="6">
        <v>3978.4</v>
      </c>
      <c r="E94" s="6">
        <v>2332.6999999999998</v>
      </c>
      <c r="F94" s="6">
        <v>2702.8</v>
      </c>
      <c r="G94" s="6">
        <v>2213.8000000000002</v>
      </c>
      <c r="H94" s="7">
        <v>1895.3</v>
      </c>
      <c r="I94" s="6">
        <v>934.3</v>
      </c>
      <c r="J94" s="6">
        <v>2555.5</v>
      </c>
      <c r="K94" s="6">
        <v>1546.5</v>
      </c>
      <c r="L94" s="6">
        <v>764.7</v>
      </c>
      <c r="M94" s="6">
        <v>1876.2</v>
      </c>
      <c r="N94" s="6">
        <v>2424.9</v>
      </c>
      <c r="O94" s="6">
        <v>4424.1000000000004</v>
      </c>
      <c r="P94" s="6">
        <v>967.2</v>
      </c>
    </row>
    <row r="95" spans="2:16" s="8" customFormat="1" ht="34.9" hidden="1" customHeight="1">
      <c r="B95" s="15">
        <v>40575</v>
      </c>
      <c r="C95" s="11">
        <v>2739.2</v>
      </c>
      <c r="D95" s="10">
        <v>3866.2</v>
      </c>
      <c r="E95" s="10">
        <v>2247.3000000000002</v>
      </c>
      <c r="F95" s="10">
        <v>2205.3000000000002</v>
      </c>
      <c r="G95" s="10">
        <v>1966.2</v>
      </c>
      <c r="H95" s="11">
        <v>1866.7</v>
      </c>
      <c r="I95" s="10">
        <v>924.9</v>
      </c>
      <c r="J95" s="10">
        <v>2556.9</v>
      </c>
      <c r="K95" s="10">
        <v>1548.8</v>
      </c>
      <c r="L95" s="10">
        <v>716.8</v>
      </c>
      <c r="M95" s="10">
        <v>1886.1</v>
      </c>
      <c r="N95" s="10">
        <v>2412</v>
      </c>
      <c r="O95" s="10">
        <v>4342.1000000000004</v>
      </c>
      <c r="P95" s="10">
        <v>927.3</v>
      </c>
    </row>
    <row r="96" spans="2:16" s="8" customFormat="1" ht="34.9" hidden="1" customHeight="1">
      <c r="B96" s="14">
        <v>40603</v>
      </c>
      <c r="C96" s="7">
        <v>2699.9</v>
      </c>
      <c r="D96" s="6">
        <v>3787.1</v>
      </c>
      <c r="E96" s="6">
        <v>2298.1999999999998</v>
      </c>
      <c r="F96" s="6">
        <v>2224.1</v>
      </c>
      <c r="G96" s="6">
        <v>1940.6</v>
      </c>
      <c r="H96" s="7">
        <v>1776.7</v>
      </c>
      <c r="I96" s="6">
        <v>863.9</v>
      </c>
      <c r="J96" s="6">
        <v>2661.9</v>
      </c>
      <c r="K96" s="6">
        <v>1475.5</v>
      </c>
      <c r="L96" s="6">
        <v>688.7</v>
      </c>
      <c r="M96" s="6">
        <v>1886.1</v>
      </c>
      <c r="N96" s="6">
        <v>2039.7</v>
      </c>
      <c r="O96" s="6">
        <v>3950.3</v>
      </c>
      <c r="P96" s="6">
        <v>923</v>
      </c>
    </row>
    <row r="97" spans="2:16" s="8" customFormat="1" ht="34.9" hidden="1" customHeight="1">
      <c r="B97" s="15">
        <v>40634</v>
      </c>
      <c r="C97" s="11">
        <v>2731.5</v>
      </c>
      <c r="D97" s="10">
        <v>3765.7</v>
      </c>
      <c r="E97" s="10">
        <v>2335.6</v>
      </c>
      <c r="F97" s="10">
        <v>2294.3000000000002</v>
      </c>
      <c r="G97" s="10">
        <v>2142.5</v>
      </c>
      <c r="H97" s="11">
        <v>1770.1</v>
      </c>
      <c r="I97" s="10">
        <v>871.9</v>
      </c>
      <c r="J97" s="10">
        <v>2594.8000000000002</v>
      </c>
      <c r="K97" s="10">
        <v>1503.2</v>
      </c>
      <c r="L97" s="10">
        <v>678.4</v>
      </c>
      <c r="M97" s="10">
        <v>1800.1</v>
      </c>
      <c r="N97" s="10">
        <v>1958.2</v>
      </c>
      <c r="O97" s="10">
        <v>3963.6</v>
      </c>
      <c r="P97" s="10">
        <v>1005.9</v>
      </c>
    </row>
    <row r="98" spans="2:16" s="8" customFormat="1" ht="34.9" hidden="1" customHeight="1">
      <c r="B98" s="14">
        <v>40664</v>
      </c>
      <c r="C98" s="7">
        <v>2740.9</v>
      </c>
      <c r="D98" s="6">
        <v>3795.7</v>
      </c>
      <c r="E98" s="6">
        <v>2337.1999999999998</v>
      </c>
      <c r="F98" s="6">
        <v>2263.8000000000002</v>
      </c>
      <c r="G98" s="6">
        <v>2127.5</v>
      </c>
      <c r="H98" s="7">
        <v>1718.9</v>
      </c>
      <c r="I98" s="6">
        <v>890.7</v>
      </c>
      <c r="J98" s="6">
        <v>2650.3</v>
      </c>
      <c r="K98" s="6">
        <v>1534.5</v>
      </c>
      <c r="L98" s="6">
        <v>662.3</v>
      </c>
      <c r="M98" s="6">
        <v>1747.1</v>
      </c>
      <c r="N98" s="6">
        <v>1802.8</v>
      </c>
      <c r="O98" s="6">
        <v>3624.9</v>
      </c>
      <c r="P98" s="6">
        <v>1057.3</v>
      </c>
    </row>
    <row r="99" spans="2:16" s="8" customFormat="1" ht="34.9" hidden="1" customHeight="1">
      <c r="B99" s="15">
        <v>40695</v>
      </c>
      <c r="C99" s="11">
        <v>2655</v>
      </c>
      <c r="D99" s="10">
        <v>3735</v>
      </c>
      <c r="E99" s="10">
        <v>2321.9</v>
      </c>
      <c r="F99" s="10">
        <v>1946.4</v>
      </c>
      <c r="G99" s="10">
        <v>2047.4</v>
      </c>
      <c r="H99" s="11">
        <v>1677.7</v>
      </c>
      <c r="I99" s="10">
        <v>932</v>
      </c>
      <c r="J99" s="10">
        <v>2603.9</v>
      </c>
      <c r="K99" s="10">
        <v>1502</v>
      </c>
      <c r="L99" s="10">
        <v>646</v>
      </c>
      <c r="M99" s="10">
        <v>1853</v>
      </c>
      <c r="N99" s="10">
        <v>1900.7</v>
      </c>
      <c r="O99" s="10">
        <v>3436.9</v>
      </c>
      <c r="P99" s="10">
        <v>924.9</v>
      </c>
    </row>
    <row r="100" spans="2:16" s="8" customFormat="1" ht="34.9" hidden="1" customHeight="1">
      <c r="B100" s="14">
        <v>40725</v>
      </c>
      <c r="C100" s="7">
        <v>2635.5</v>
      </c>
      <c r="D100" s="6">
        <v>3709.5</v>
      </c>
      <c r="E100" s="6">
        <v>2305.8000000000002</v>
      </c>
      <c r="F100" s="6">
        <v>1825.6</v>
      </c>
      <c r="G100" s="6">
        <v>2112.8000000000002</v>
      </c>
      <c r="H100" s="7">
        <v>1653.7</v>
      </c>
      <c r="I100" s="6">
        <v>899.6</v>
      </c>
      <c r="J100" s="6">
        <v>2535.6999999999998</v>
      </c>
      <c r="K100" s="6">
        <v>1495</v>
      </c>
      <c r="L100" s="6">
        <v>614.20000000000005</v>
      </c>
      <c r="M100" s="6">
        <v>1869.5</v>
      </c>
      <c r="N100" s="6">
        <v>1911.9</v>
      </c>
      <c r="O100" s="6">
        <v>3336.13</v>
      </c>
      <c r="P100" s="6">
        <v>1006.5</v>
      </c>
    </row>
    <row r="101" spans="2:16" s="8" customFormat="1" ht="34.9" hidden="1" customHeight="1">
      <c r="B101" s="15">
        <v>40756</v>
      </c>
      <c r="C101" s="11">
        <v>2608.1</v>
      </c>
      <c r="D101" s="10">
        <v>3666.9</v>
      </c>
      <c r="E101" s="10">
        <v>2379.1</v>
      </c>
      <c r="F101" s="10">
        <v>1846</v>
      </c>
      <c r="G101" s="10">
        <v>2033.2</v>
      </c>
      <c r="H101" s="11">
        <v>1608</v>
      </c>
      <c r="I101" s="10">
        <v>881.5</v>
      </c>
      <c r="J101" s="10">
        <v>2544</v>
      </c>
      <c r="K101" s="10">
        <v>1493.8</v>
      </c>
      <c r="L101" s="10">
        <v>550.20000000000005</v>
      </c>
      <c r="M101" s="10">
        <v>1853</v>
      </c>
      <c r="N101" s="10">
        <v>1670.3</v>
      </c>
      <c r="O101" s="10">
        <v>3173.7</v>
      </c>
      <c r="P101" s="10">
        <v>1094.8</v>
      </c>
    </row>
    <row r="102" spans="2:16" s="8" customFormat="1" ht="34.9" hidden="1" customHeight="1">
      <c r="B102" s="14">
        <v>40787</v>
      </c>
      <c r="C102" s="7">
        <v>2549</v>
      </c>
      <c r="D102" s="6">
        <v>3593.2</v>
      </c>
      <c r="E102" s="6">
        <v>2200.3000000000002</v>
      </c>
      <c r="F102" s="6">
        <v>1807.2</v>
      </c>
      <c r="G102" s="6">
        <v>1998.7</v>
      </c>
      <c r="H102" s="7">
        <v>1560.7</v>
      </c>
      <c r="I102" s="6">
        <v>862.8</v>
      </c>
      <c r="J102" s="6">
        <v>2494.6</v>
      </c>
      <c r="K102" s="6">
        <v>1465</v>
      </c>
      <c r="L102" s="6">
        <v>511</v>
      </c>
      <c r="M102" s="6">
        <v>1793.4</v>
      </c>
      <c r="N102" s="6">
        <v>1643.6</v>
      </c>
      <c r="O102" s="6">
        <v>3062.6</v>
      </c>
      <c r="P102" s="6">
        <v>1100.9000000000001</v>
      </c>
    </row>
    <row r="103" spans="2:16" s="8" customFormat="1" ht="34.9" hidden="1" customHeight="1">
      <c r="B103" s="15">
        <v>40817</v>
      </c>
      <c r="C103" s="11">
        <v>2519.8000000000002</v>
      </c>
      <c r="D103" s="10">
        <v>3542.7</v>
      </c>
      <c r="E103" s="10">
        <v>2133.4</v>
      </c>
      <c r="F103" s="10">
        <v>1758.3</v>
      </c>
      <c r="G103" s="10">
        <v>2046.4</v>
      </c>
      <c r="H103" s="11">
        <v>1654.2</v>
      </c>
      <c r="I103" s="10">
        <v>870.3</v>
      </c>
      <c r="J103" s="10">
        <v>2514.1999999999998</v>
      </c>
      <c r="K103" s="10">
        <v>1435.8</v>
      </c>
      <c r="L103" s="10">
        <v>486.2</v>
      </c>
      <c r="M103" s="10">
        <v>1819.9</v>
      </c>
      <c r="N103" s="10">
        <v>1421.1</v>
      </c>
      <c r="O103" s="10">
        <v>3772.5</v>
      </c>
      <c r="P103" s="10">
        <v>1029.5999999999999</v>
      </c>
    </row>
    <row r="104" spans="2:16" s="8" customFormat="1" ht="34.9" hidden="1" customHeight="1">
      <c r="B104" s="14">
        <v>40848</v>
      </c>
      <c r="C104" s="7">
        <v>2439.3000000000002</v>
      </c>
      <c r="D104" s="6">
        <v>3443.3</v>
      </c>
      <c r="E104" s="6">
        <v>2088.4</v>
      </c>
      <c r="F104" s="6">
        <v>1628.2</v>
      </c>
      <c r="G104" s="6">
        <v>1980.7</v>
      </c>
      <c r="H104" s="7">
        <v>1635.6</v>
      </c>
      <c r="I104" s="6">
        <v>842.1</v>
      </c>
      <c r="J104" s="6">
        <v>2538.8000000000002</v>
      </c>
      <c r="K104" s="6">
        <v>1398.2</v>
      </c>
      <c r="L104" s="6">
        <v>458.3</v>
      </c>
      <c r="M104" s="6">
        <v>1806.7</v>
      </c>
      <c r="N104" s="6">
        <v>1471.2</v>
      </c>
      <c r="O104" s="6">
        <v>3789.6</v>
      </c>
      <c r="P104" s="6">
        <v>948.3</v>
      </c>
    </row>
    <row r="105" spans="2:16" s="8" customFormat="1" ht="34.9" hidden="1" customHeight="1">
      <c r="B105" s="15">
        <v>40878</v>
      </c>
      <c r="C105" s="11">
        <v>2443.9</v>
      </c>
      <c r="D105" s="10">
        <v>3475.3</v>
      </c>
      <c r="E105" s="10">
        <v>2089.8000000000002</v>
      </c>
      <c r="F105" s="10">
        <v>1580.7</v>
      </c>
      <c r="G105" s="10">
        <v>1939.5</v>
      </c>
      <c r="H105" s="11">
        <v>1693.7</v>
      </c>
      <c r="I105" s="10">
        <v>873.8</v>
      </c>
      <c r="J105" s="10">
        <v>2619.1</v>
      </c>
      <c r="K105" s="10">
        <v>1409.4</v>
      </c>
      <c r="L105" s="10">
        <v>445.2</v>
      </c>
      <c r="M105" s="10">
        <v>1829.8</v>
      </c>
      <c r="N105" s="10">
        <v>1556.2</v>
      </c>
      <c r="O105" s="10">
        <v>4075.1</v>
      </c>
      <c r="P105" s="10">
        <v>944.9</v>
      </c>
    </row>
    <row r="106" spans="2:16" s="8" customFormat="1" ht="34.9" hidden="1" customHeight="1">
      <c r="B106" s="3">
        <v>2012</v>
      </c>
      <c r="C106" s="13"/>
      <c r="D106" s="12"/>
      <c r="E106" s="12"/>
      <c r="F106" s="12"/>
      <c r="G106" s="12"/>
      <c r="H106" s="13"/>
      <c r="I106" s="12"/>
      <c r="J106" s="12"/>
      <c r="K106" s="12"/>
      <c r="L106" s="12"/>
      <c r="M106" s="12"/>
      <c r="N106" s="12"/>
      <c r="O106" s="12"/>
      <c r="P106" s="12"/>
    </row>
    <row r="107" spans="2:16" s="8" customFormat="1" ht="34.9" hidden="1" customHeight="1">
      <c r="B107" s="14">
        <v>40909</v>
      </c>
      <c r="C107" s="7">
        <v>2384.1</v>
      </c>
      <c r="D107" s="6">
        <v>3364.4</v>
      </c>
      <c r="E107" s="6">
        <v>2065.4</v>
      </c>
      <c r="F107" s="6">
        <v>1626.9</v>
      </c>
      <c r="G107" s="6">
        <v>1901.1</v>
      </c>
      <c r="H107" s="7">
        <v>1660.8</v>
      </c>
      <c r="I107" s="6">
        <v>867.5</v>
      </c>
      <c r="J107" s="6">
        <v>2620.1</v>
      </c>
      <c r="K107" s="6">
        <v>1310.3</v>
      </c>
      <c r="L107" s="6">
        <v>449.4</v>
      </c>
      <c r="M107" s="6">
        <v>1833.1</v>
      </c>
      <c r="N107" s="6">
        <v>1438.4</v>
      </c>
      <c r="O107" s="6">
        <v>3982.8</v>
      </c>
      <c r="P107" s="6">
        <v>972.1</v>
      </c>
    </row>
    <row r="108" spans="2:16" s="8" customFormat="1" ht="34.9" hidden="1" customHeight="1">
      <c r="B108" s="15">
        <v>40940</v>
      </c>
      <c r="C108" s="11">
        <v>2412.3000000000002</v>
      </c>
      <c r="D108" s="10">
        <v>3448.2</v>
      </c>
      <c r="E108" s="10">
        <v>2029.6</v>
      </c>
      <c r="F108" s="10">
        <v>1659.3</v>
      </c>
      <c r="G108" s="10">
        <v>1781.3</v>
      </c>
      <c r="H108" s="11">
        <v>1636.4</v>
      </c>
      <c r="I108" s="10">
        <v>914.6</v>
      </c>
      <c r="J108" s="10">
        <v>2680.1</v>
      </c>
      <c r="K108" s="10">
        <v>1298.7</v>
      </c>
      <c r="L108" s="10">
        <v>425.7</v>
      </c>
      <c r="M108" s="10">
        <v>1846.4</v>
      </c>
      <c r="N108" s="10">
        <v>1294.5</v>
      </c>
      <c r="O108" s="10">
        <v>3885.7</v>
      </c>
      <c r="P108" s="10">
        <v>912.6</v>
      </c>
    </row>
    <row r="109" spans="2:16" s="8" customFormat="1" ht="34.9" hidden="1" customHeight="1">
      <c r="B109" s="14">
        <v>40969</v>
      </c>
      <c r="C109" s="7">
        <v>2445.4</v>
      </c>
      <c r="D109" s="6">
        <v>3501.4</v>
      </c>
      <c r="E109" s="6">
        <v>2071</v>
      </c>
      <c r="F109" s="6">
        <v>1694.3</v>
      </c>
      <c r="G109" s="6">
        <v>1769</v>
      </c>
      <c r="H109" s="7">
        <v>1675.4</v>
      </c>
      <c r="I109" s="6">
        <v>943.4</v>
      </c>
      <c r="J109" s="6">
        <v>2697.4</v>
      </c>
      <c r="K109" s="6">
        <v>1349.8</v>
      </c>
      <c r="L109" s="6">
        <v>440.6</v>
      </c>
      <c r="M109" s="6">
        <v>1876.2</v>
      </c>
      <c r="N109" s="6">
        <v>1238.9000000000001</v>
      </c>
      <c r="O109" s="6">
        <v>4018.5</v>
      </c>
      <c r="P109" s="6">
        <v>906.5</v>
      </c>
    </row>
    <row r="110" spans="2:16" s="8" customFormat="1" ht="34.9" hidden="1" customHeight="1">
      <c r="B110" s="15">
        <v>41000</v>
      </c>
      <c r="C110" s="11">
        <v>2468.1</v>
      </c>
      <c r="D110" s="10">
        <v>3526.8</v>
      </c>
      <c r="E110" s="10">
        <v>2062.5</v>
      </c>
      <c r="F110" s="10">
        <v>1753.1</v>
      </c>
      <c r="G110" s="10">
        <v>1788.4</v>
      </c>
      <c r="H110" s="11">
        <v>1621.3</v>
      </c>
      <c r="I110" s="10">
        <v>947</v>
      </c>
      <c r="J110" s="10">
        <v>2632.1</v>
      </c>
      <c r="K110" s="10">
        <v>1345.7</v>
      </c>
      <c r="L110" s="10">
        <v>458.3</v>
      </c>
      <c r="M110" s="10">
        <v>1793.4</v>
      </c>
      <c r="N110" s="10">
        <v>1065.8</v>
      </c>
      <c r="O110" s="10">
        <v>3791.9</v>
      </c>
      <c r="P110" s="10">
        <v>917.3</v>
      </c>
    </row>
    <row r="111" spans="2:16" s="8" customFormat="1" ht="34.9" hidden="1" customHeight="1">
      <c r="B111" s="14">
        <v>41030</v>
      </c>
      <c r="C111" s="7">
        <v>2322</v>
      </c>
      <c r="D111" s="6">
        <v>3324.2</v>
      </c>
      <c r="E111" s="6">
        <v>2007.3</v>
      </c>
      <c r="F111" s="6">
        <v>1594.5</v>
      </c>
      <c r="G111" s="6">
        <v>1676</v>
      </c>
      <c r="H111" s="7">
        <v>1547.6</v>
      </c>
      <c r="I111" s="6">
        <v>910.6</v>
      </c>
      <c r="J111" s="6">
        <v>2669.6</v>
      </c>
      <c r="K111" s="6">
        <v>1275.2</v>
      </c>
      <c r="L111" s="6">
        <v>431.7</v>
      </c>
      <c r="M111" s="6">
        <v>1674.3</v>
      </c>
      <c r="N111" s="6">
        <v>982.9</v>
      </c>
      <c r="O111" s="6">
        <v>3584.5</v>
      </c>
      <c r="P111" s="6">
        <v>876.4</v>
      </c>
    </row>
    <row r="112" spans="2:16" s="8" customFormat="1" ht="34.9" hidden="1" customHeight="1">
      <c r="B112" s="15">
        <v>41061</v>
      </c>
      <c r="C112" s="11">
        <v>2333.1999999999998</v>
      </c>
      <c r="D112" s="10">
        <v>3339.1</v>
      </c>
      <c r="E112" s="10">
        <v>2028.4</v>
      </c>
      <c r="F112" s="10">
        <v>1572.3</v>
      </c>
      <c r="G112" s="10">
        <v>1708.4</v>
      </c>
      <c r="H112" s="11">
        <v>1558.6</v>
      </c>
      <c r="I112" s="10">
        <v>908.7</v>
      </c>
      <c r="J112" s="10">
        <v>2728.1</v>
      </c>
      <c r="K112" s="10">
        <v>1286.8</v>
      </c>
      <c r="L112" s="10">
        <v>425.7</v>
      </c>
      <c r="M112" s="10">
        <v>1657.8</v>
      </c>
      <c r="N112" s="10">
        <v>1104.2</v>
      </c>
      <c r="O112" s="10">
        <v>3623.9</v>
      </c>
      <c r="P112" s="10">
        <v>844</v>
      </c>
    </row>
    <row r="113" spans="2:16" s="8" customFormat="1" ht="34.9" hidden="1" customHeight="1">
      <c r="B113" s="14">
        <v>41091</v>
      </c>
      <c r="C113" s="7">
        <v>2287</v>
      </c>
      <c r="D113" s="6">
        <v>3272.9</v>
      </c>
      <c r="E113" s="6">
        <v>1979.9</v>
      </c>
      <c r="F113" s="6">
        <v>1565.9</v>
      </c>
      <c r="G113" s="6">
        <v>1657.3</v>
      </c>
      <c r="H113" s="7">
        <v>1531.3</v>
      </c>
      <c r="I113" s="6">
        <v>898.8</v>
      </c>
      <c r="J113" s="6">
        <v>2715.9</v>
      </c>
      <c r="K113" s="6">
        <v>1284.2</v>
      </c>
      <c r="L113" s="6">
        <v>431.3</v>
      </c>
      <c r="M113" s="6">
        <v>1654.5</v>
      </c>
      <c r="N113" s="6">
        <v>1041.0999999999999</v>
      </c>
      <c r="O113" s="6">
        <v>3503</v>
      </c>
      <c r="P113" s="6">
        <v>785.6</v>
      </c>
    </row>
    <row r="114" spans="2:16" s="8" customFormat="1" ht="34.9" hidden="1" customHeight="1">
      <c r="B114" s="15">
        <v>41122</v>
      </c>
      <c r="C114" s="11">
        <v>2358.9</v>
      </c>
      <c r="D114" s="10">
        <v>3408.4</v>
      </c>
      <c r="E114" s="10">
        <v>1927.4</v>
      </c>
      <c r="F114" s="10">
        <v>1545</v>
      </c>
      <c r="G114" s="10">
        <v>1693.8</v>
      </c>
      <c r="H114" s="11">
        <v>1557.3</v>
      </c>
      <c r="I114" s="10">
        <v>898.6</v>
      </c>
      <c r="J114" s="10">
        <v>2791.4</v>
      </c>
      <c r="K114" s="10">
        <v>1284.7</v>
      </c>
      <c r="L114" s="10">
        <v>421.7</v>
      </c>
      <c r="M114" s="10">
        <v>1644.5</v>
      </c>
      <c r="N114" s="10">
        <v>831.2</v>
      </c>
      <c r="O114" s="10">
        <v>3680</v>
      </c>
      <c r="P114" s="10">
        <v>808.1</v>
      </c>
    </row>
    <row r="115" spans="2:16" s="8" customFormat="1" ht="34.9" hidden="1" customHeight="1">
      <c r="B115" s="14">
        <v>41153</v>
      </c>
      <c r="C115" s="7">
        <v>2320.1</v>
      </c>
      <c r="D115" s="6">
        <v>3362.7</v>
      </c>
      <c r="E115" s="6">
        <v>1958.3</v>
      </c>
      <c r="F115" s="6">
        <v>1502.4</v>
      </c>
      <c r="G115" s="6">
        <v>1613.4</v>
      </c>
      <c r="H115" s="7">
        <v>1567.5</v>
      </c>
      <c r="I115" s="6">
        <v>859.2</v>
      </c>
      <c r="J115" s="6">
        <v>2854.1</v>
      </c>
      <c r="K115" s="6">
        <v>1300.4000000000001</v>
      </c>
      <c r="L115" s="6">
        <v>426.3</v>
      </c>
      <c r="M115" s="6">
        <v>1647.8</v>
      </c>
      <c r="N115" s="6">
        <v>918.5</v>
      </c>
      <c r="O115" s="6">
        <v>3699.3</v>
      </c>
      <c r="P115" s="6">
        <v>757.2</v>
      </c>
    </row>
    <row r="116" spans="2:16" s="8" customFormat="1" ht="34.9" hidden="1" customHeight="1">
      <c r="B116" s="15">
        <v>41183</v>
      </c>
      <c r="C116" s="11">
        <v>2307.8000000000002</v>
      </c>
      <c r="D116" s="10">
        <v>3332.5</v>
      </c>
      <c r="E116" s="10">
        <v>1908</v>
      </c>
      <c r="F116" s="10">
        <v>1512.2</v>
      </c>
      <c r="G116" s="10">
        <v>1655</v>
      </c>
      <c r="H116" s="11">
        <v>1632.5</v>
      </c>
      <c r="I116" s="10">
        <v>857.6</v>
      </c>
      <c r="J116" s="10">
        <v>2890.5</v>
      </c>
      <c r="K116" s="10">
        <v>1273.8</v>
      </c>
      <c r="L116" s="10">
        <v>464</v>
      </c>
      <c r="M116" s="10">
        <v>1753.7</v>
      </c>
      <c r="N116" s="10">
        <v>854.3</v>
      </c>
      <c r="O116" s="10">
        <v>3979</v>
      </c>
      <c r="P116" s="10">
        <v>769.2</v>
      </c>
    </row>
    <row r="117" spans="2:16" s="8" customFormat="1" ht="34.9" hidden="1" customHeight="1">
      <c r="B117" s="14">
        <v>41214</v>
      </c>
      <c r="C117" s="7">
        <v>2320.4</v>
      </c>
      <c r="D117" s="6">
        <v>3323.27</v>
      </c>
      <c r="E117" s="6">
        <v>1884.3</v>
      </c>
      <c r="F117" s="6">
        <v>1604.1</v>
      </c>
      <c r="G117" s="6">
        <v>1713.7</v>
      </c>
      <c r="H117" s="7">
        <v>1621</v>
      </c>
      <c r="I117" s="6">
        <v>902.7</v>
      </c>
      <c r="J117" s="6">
        <v>2877.3</v>
      </c>
      <c r="K117" s="6">
        <v>1277.0999999999999</v>
      </c>
      <c r="L117" s="6">
        <v>456.6</v>
      </c>
      <c r="M117" s="6">
        <v>1747.1</v>
      </c>
      <c r="N117" s="6">
        <v>834.9</v>
      </c>
      <c r="O117" s="6">
        <v>3929.3</v>
      </c>
      <c r="P117" s="6">
        <v>749.3</v>
      </c>
    </row>
    <row r="118" spans="2:16" s="8" customFormat="1" ht="34.9" hidden="1" customHeight="1">
      <c r="B118" s="15">
        <v>41244</v>
      </c>
      <c r="C118" s="11">
        <v>2363.6</v>
      </c>
      <c r="D118" s="10">
        <v>3407.64</v>
      </c>
      <c r="E118" s="10">
        <v>1887.2</v>
      </c>
      <c r="F118" s="10">
        <v>1653</v>
      </c>
      <c r="G118" s="10">
        <v>1658.8</v>
      </c>
      <c r="H118" s="11">
        <v>1651.1</v>
      </c>
      <c r="I118" s="10">
        <v>900</v>
      </c>
      <c r="J118" s="10">
        <v>2952.3</v>
      </c>
      <c r="K118" s="10">
        <v>1294.3</v>
      </c>
      <c r="L118" s="10">
        <v>467</v>
      </c>
      <c r="M118" s="10">
        <v>1753.7</v>
      </c>
      <c r="N118" s="10">
        <v>856.8</v>
      </c>
      <c r="O118" s="10">
        <v>4017.9</v>
      </c>
      <c r="P118" s="10">
        <v>770</v>
      </c>
    </row>
    <row r="119" spans="2:16" s="8" customFormat="1" ht="34.9" hidden="1" customHeight="1">
      <c r="B119" s="3">
        <v>2013</v>
      </c>
      <c r="C119" s="13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  <c r="O119" s="12"/>
      <c r="P119" s="12"/>
    </row>
    <row r="120" spans="2:16" s="8" customFormat="1" ht="34.9" hidden="1" customHeight="1">
      <c r="B120" s="14">
        <v>41275</v>
      </c>
      <c r="C120" s="7">
        <v>2481.8000000000002</v>
      </c>
      <c r="D120" s="6">
        <v>3567.8</v>
      </c>
      <c r="E120" s="6">
        <v>1858.1</v>
      </c>
      <c r="F120" s="6">
        <v>1764.7</v>
      </c>
      <c r="G120" s="6">
        <v>1808.9</v>
      </c>
      <c r="H120" s="7">
        <v>1673.9</v>
      </c>
      <c r="I120" s="6">
        <v>921.7</v>
      </c>
      <c r="J120" s="6">
        <v>3151.4</v>
      </c>
      <c r="K120" s="6">
        <v>1261</v>
      </c>
      <c r="L120" s="6">
        <v>502.5</v>
      </c>
      <c r="M120" s="6">
        <v>1770.3</v>
      </c>
      <c r="N120" s="6">
        <v>791.9</v>
      </c>
      <c r="O120" s="6">
        <v>4030.6</v>
      </c>
      <c r="P120" s="6">
        <v>762.6</v>
      </c>
    </row>
    <row r="121" spans="2:16" s="8" customFormat="1" ht="34.9" hidden="1" customHeight="1">
      <c r="B121" s="15">
        <v>41306</v>
      </c>
      <c r="C121" s="11">
        <v>2507</v>
      </c>
      <c r="D121" s="10">
        <v>3575.5</v>
      </c>
      <c r="E121" s="10">
        <v>1857.3</v>
      </c>
      <c r="F121" s="10">
        <v>1846.1</v>
      </c>
      <c r="G121" s="10">
        <v>1890.4</v>
      </c>
      <c r="H121" s="11">
        <v>1685.7</v>
      </c>
      <c r="I121" s="10">
        <v>928.6</v>
      </c>
      <c r="J121" s="10">
        <v>3202.2</v>
      </c>
      <c r="K121" s="10">
        <v>1248.0999999999999</v>
      </c>
      <c r="L121" s="10">
        <v>509.8</v>
      </c>
      <c r="M121" s="10">
        <v>1753.7</v>
      </c>
      <c r="N121" s="10">
        <v>628.5</v>
      </c>
      <c r="O121" s="10">
        <v>4066.4</v>
      </c>
      <c r="P121" s="10">
        <v>864.4</v>
      </c>
    </row>
    <row r="122" spans="2:16" s="8" customFormat="1" ht="34.9" hidden="1" customHeight="1">
      <c r="B122" s="14">
        <v>41334</v>
      </c>
      <c r="C122" s="7">
        <v>2589.6</v>
      </c>
      <c r="D122" s="6">
        <v>3460.7</v>
      </c>
      <c r="E122" s="6">
        <v>1855.8</v>
      </c>
      <c r="F122" s="6">
        <v>2408.6999999999998</v>
      </c>
      <c r="G122" s="6">
        <v>2445</v>
      </c>
      <c r="H122" s="7">
        <v>1711.5</v>
      </c>
      <c r="I122" s="6">
        <v>902.7</v>
      </c>
      <c r="J122" s="6">
        <v>3205.2</v>
      </c>
      <c r="K122" s="6">
        <v>1232.2</v>
      </c>
      <c r="L122" s="6">
        <v>540.6</v>
      </c>
      <c r="M122" s="6">
        <v>1776.9</v>
      </c>
      <c r="N122" s="6">
        <v>727.1</v>
      </c>
      <c r="O122" s="6">
        <v>4156.1000000000004</v>
      </c>
      <c r="P122" s="6">
        <v>873.3</v>
      </c>
    </row>
    <row r="123" spans="2:16" s="8" customFormat="1" ht="34.9" hidden="1" customHeight="1">
      <c r="B123" s="15">
        <v>41365</v>
      </c>
      <c r="C123" s="11">
        <v>2441.9</v>
      </c>
      <c r="D123" s="10">
        <v>3357.1</v>
      </c>
      <c r="E123" s="10">
        <v>1788.1</v>
      </c>
      <c r="F123" s="10">
        <v>1986.5</v>
      </c>
      <c r="G123" s="10">
        <v>2172.3000000000002</v>
      </c>
      <c r="H123" s="11">
        <v>1633.6</v>
      </c>
      <c r="I123" s="10">
        <v>868.1</v>
      </c>
      <c r="J123" s="10">
        <v>3084</v>
      </c>
      <c r="K123" s="10">
        <v>1245.2</v>
      </c>
      <c r="L123" s="10">
        <v>498.3</v>
      </c>
      <c r="M123" s="10">
        <v>1651.1</v>
      </c>
      <c r="N123" s="10">
        <v>751.5</v>
      </c>
      <c r="O123" s="10">
        <v>3929.3</v>
      </c>
      <c r="P123" s="10">
        <v>799.5</v>
      </c>
    </row>
    <row r="124" spans="2:16" s="8" customFormat="1" ht="34.9" hidden="1" customHeight="1">
      <c r="B124" s="14">
        <v>41395</v>
      </c>
      <c r="C124" s="7">
        <v>2469.9</v>
      </c>
      <c r="D124" s="6">
        <v>3419.6</v>
      </c>
      <c r="E124" s="6">
        <v>1770.7</v>
      </c>
      <c r="F124" s="6">
        <v>1964.5</v>
      </c>
      <c r="G124" s="6">
        <v>2159.6</v>
      </c>
      <c r="H124" s="7">
        <v>1632.3</v>
      </c>
      <c r="I124" s="6">
        <v>891.3</v>
      </c>
      <c r="J124" s="6">
        <v>3017.7</v>
      </c>
      <c r="K124" s="6">
        <v>1199.9000000000001</v>
      </c>
      <c r="L124" s="6">
        <v>505.8</v>
      </c>
      <c r="M124" s="6">
        <v>1621.4</v>
      </c>
      <c r="N124" s="6">
        <v>714.5</v>
      </c>
      <c r="O124" s="6">
        <v>4029.9</v>
      </c>
      <c r="P124" s="6">
        <v>817.5</v>
      </c>
    </row>
    <row r="125" spans="2:16" s="8" customFormat="1" ht="34.9" hidden="1" customHeight="1">
      <c r="B125" s="15">
        <v>41426</v>
      </c>
      <c r="C125" s="11">
        <v>2440.6</v>
      </c>
      <c r="D125" s="10">
        <v>3399.1</v>
      </c>
      <c r="E125" s="10">
        <v>1770.1</v>
      </c>
      <c r="F125" s="10">
        <v>1844.9</v>
      </c>
      <c r="G125" s="10">
        <v>2132.8000000000002</v>
      </c>
      <c r="H125" s="11">
        <v>1606.1</v>
      </c>
      <c r="I125" s="10">
        <v>908</v>
      </c>
      <c r="J125" s="10">
        <v>3073.1</v>
      </c>
      <c r="K125" s="10">
        <v>1175.0999999999999</v>
      </c>
      <c r="L125" s="10">
        <v>479.3</v>
      </c>
      <c r="M125" s="10">
        <v>1449.3</v>
      </c>
      <c r="N125" s="10">
        <v>730.1</v>
      </c>
      <c r="O125" s="10">
        <v>4039.9</v>
      </c>
      <c r="P125" s="10">
        <v>823.5</v>
      </c>
    </row>
    <row r="126" spans="2:16" s="8" customFormat="1" ht="34.9" hidden="1" customHeight="1">
      <c r="B126" s="14">
        <v>41456</v>
      </c>
      <c r="C126" s="7">
        <v>2440.3000000000002</v>
      </c>
      <c r="D126" s="6">
        <v>3441.6</v>
      </c>
      <c r="E126" s="6">
        <v>1757.6</v>
      </c>
      <c r="F126" s="6">
        <v>1805.3</v>
      </c>
      <c r="G126" s="6">
        <v>1997.2</v>
      </c>
      <c r="H126" s="7">
        <v>1557.7</v>
      </c>
      <c r="I126" s="6">
        <v>853.7</v>
      </c>
      <c r="J126" s="6">
        <v>3048.4</v>
      </c>
      <c r="K126" s="6">
        <v>1197.7</v>
      </c>
      <c r="L126" s="6">
        <v>466.2</v>
      </c>
      <c r="M126" s="6">
        <v>1151.5</v>
      </c>
      <c r="N126" s="6">
        <v>632.1</v>
      </c>
      <c r="O126" s="6">
        <v>4021</v>
      </c>
      <c r="P126" s="6">
        <v>821.5</v>
      </c>
    </row>
    <row r="127" spans="2:16" s="8" customFormat="1" ht="34.9" hidden="1" customHeight="1">
      <c r="B127" s="15">
        <v>41487</v>
      </c>
      <c r="C127" s="11">
        <v>2393.1</v>
      </c>
      <c r="D127" s="10">
        <v>2420.1999999999998</v>
      </c>
      <c r="E127" s="10">
        <v>1726.1</v>
      </c>
      <c r="F127" s="10">
        <v>1779.1</v>
      </c>
      <c r="G127" s="10">
        <v>1835.7</v>
      </c>
      <c r="H127" s="11">
        <v>1488.8</v>
      </c>
      <c r="I127" s="10">
        <v>880</v>
      </c>
      <c r="J127" s="10">
        <v>3135</v>
      </c>
      <c r="K127" s="10">
        <v>1159.2</v>
      </c>
      <c r="L127" s="10">
        <v>436.4</v>
      </c>
      <c r="M127" s="10">
        <v>982.8</v>
      </c>
      <c r="N127" s="10">
        <v>584.4</v>
      </c>
      <c r="O127" s="10">
        <v>3773.7</v>
      </c>
      <c r="P127" s="10">
        <v>820.2</v>
      </c>
    </row>
    <row r="128" spans="2:16" s="8" customFormat="1" ht="34.9" hidden="1" customHeight="1">
      <c r="B128" s="14">
        <v>41518</v>
      </c>
      <c r="C128" s="7">
        <v>2413.4</v>
      </c>
      <c r="D128" s="6">
        <v>3417.9</v>
      </c>
      <c r="E128" s="6">
        <v>1735.7</v>
      </c>
      <c r="F128" s="6">
        <v>1765.6</v>
      </c>
      <c r="G128" s="6">
        <v>1935.9</v>
      </c>
      <c r="H128" s="7">
        <v>1542.4</v>
      </c>
      <c r="I128" s="6">
        <v>900.3</v>
      </c>
      <c r="J128" s="6">
        <v>3339.1</v>
      </c>
      <c r="K128" s="6">
        <v>1179.4000000000001</v>
      </c>
      <c r="L128" s="6">
        <v>447.1</v>
      </c>
      <c r="M128" s="6">
        <v>1101.9000000000001</v>
      </c>
      <c r="N128" s="6">
        <v>632.79999999999995</v>
      </c>
      <c r="O128" s="6">
        <v>3810.6</v>
      </c>
      <c r="P128" s="6">
        <v>865.7</v>
      </c>
    </row>
    <row r="129" spans="2:16" s="8" customFormat="1" ht="34.9" hidden="1" customHeight="1">
      <c r="B129" s="15">
        <v>41548</v>
      </c>
      <c r="C129" s="11">
        <v>2542.5</v>
      </c>
      <c r="D129" s="10">
        <v>3644.76</v>
      </c>
      <c r="E129" s="10">
        <v>1789.98</v>
      </c>
      <c r="F129" s="10">
        <v>1800.88</v>
      </c>
      <c r="G129" s="10">
        <v>1929.32</v>
      </c>
      <c r="H129" s="11">
        <v>1597.83</v>
      </c>
      <c r="I129" s="10">
        <v>928.75</v>
      </c>
      <c r="J129" s="10">
        <v>3360.99</v>
      </c>
      <c r="K129" s="10">
        <v>1191.83</v>
      </c>
      <c r="L129" s="10">
        <v>442.53</v>
      </c>
      <c r="M129" s="10">
        <v>1125.03</v>
      </c>
      <c r="N129" s="10">
        <v>632.49</v>
      </c>
      <c r="O129" s="10">
        <v>4108.84</v>
      </c>
      <c r="P129" s="10">
        <v>891.2</v>
      </c>
    </row>
    <row r="130" spans="2:16" s="8" customFormat="1" ht="34.9" hidden="1" customHeight="1">
      <c r="B130" s="14">
        <v>41579</v>
      </c>
      <c r="C130" s="7">
        <v>2648.54</v>
      </c>
      <c r="D130" s="6">
        <v>3812.24</v>
      </c>
      <c r="E130" s="6">
        <v>1769.53</v>
      </c>
      <c r="F130" s="6">
        <v>1916.65</v>
      </c>
      <c r="G130" s="6">
        <v>1955.85</v>
      </c>
      <c r="H130" s="7">
        <v>1607.82</v>
      </c>
      <c r="I130" s="6">
        <v>942.69</v>
      </c>
      <c r="J130" s="6">
        <v>3421.22</v>
      </c>
      <c r="K130" s="6">
        <v>1186.46</v>
      </c>
      <c r="L130" s="6">
        <v>453.98</v>
      </c>
      <c r="M130" s="6">
        <v>1101.8699999999999</v>
      </c>
      <c r="N130" s="6">
        <v>608.44000000000005</v>
      </c>
      <c r="O130" s="6">
        <v>4146.09</v>
      </c>
      <c r="P130" s="6">
        <v>891.34</v>
      </c>
    </row>
    <row r="131" spans="2:16" s="8" customFormat="1" ht="34.9" hidden="1" customHeight="1">
      <c r="B131" s="15">
        <v>41609</v>
      </c>
      <c r="C131" s="11">
        <v>2703.9</v>
      </c>
      <c r="D131" s="10">
        <v>3888.8</v>
      </c>
      <c r="E131" s="10">
        <v>1793.2</v>
      </c>
      <c r="F131" s="10">
        <v>1944.2</v>
      </c>
      <c r="G131" s="10">
        <v>2026.2</v>
      </c>
      <c r="H131" s="11">
        <v>1664.8</v>
      </c>
      <c r="I131" s="10">
        <v>962.7</v>
      </c>
      <c r="J131" s="10">
        <v>3586.5</v>
      </c>
      <c r="K131" s="10">
        <v>1218.5</v>
      </c>
      <c r="L131" s="10">
        <v>451.9</v>
      </c>
      <c r="M131" s="10">
        <v>1356.7</v>
      </c>
      <c r="N131" s="10">
        <v>607.70000000000005</v>
      </c>
      <c r="O131" s="10">
        <v>4140.7</v>
      </c>
      <c r="P131" s="10">
        <v>909.8</v>
      </c>
    </row>
    <row r="132" spans="2:16" s="8" customFormat="1" ht="34.9" hidden="1" customHeight="1">
      <c r="B132" s="3">
        <v>2014</v>
      </c>
      <c r="C132" s="13"/>
      <c r="D132" s="12"/>
      <c r="E132" s="12"/>
      <c r="F132" s="12"/>
      <c r="G132" s="12"/>
      <c r="H132" s="13"/>
      <c r="I132" s="12"/>
      <c r="J132" s="12"/>
      <c r="K132" s="12"/>
      <c r="L132" s="12"/>
      <c r="M132" s="12"/>
      <c r="N132" s="12"/>
      <c r="O132" s="12"/>
      <c r="P132" s="12"/>
    </row>
    <row r="133" spans="2:16" s="8" customFormat="1" ht="34.9" hidden="1" customHeight="1">
      <c r="B133" s="14">
        <v>41640</v>
      </c>
      <c r="C133" s="7">
        <v>3022.2</v>
      </c>
      <c r="D133" s="6">
        <v>4360.5</v>
      </c>
      <c r="E133" s="6">
        <v>1897.2</v>
      </c>
      <c r="F133" s="6">
        <v>2174.4</v>
      </c>
      <c r="G133" s="6">
        <v>2256.9</v>
      </c>
      <c r="H133" s="7">
        <v>1659.8</v>
      </c>
      <c r="I133" s="6">
        <v>926</v>
      </c>
      <c r="J133" s="6">
        <v>3694.3</v>
      </c>
      <c r="K133" s="6">
        <v>1285.2</v>
      </c>
      <c r="L133" s="6">
        <v>467.2</v>
      </c>
      <c r="M133" s="6">
        <v>1257.4000000000001</v>
      </c>
      <c r="N133" s="6">
        <v>601.6</v>
      </c>
      <c r="O133" s="6">
        <v>3992</v>
      </c>
      <c r="P133" s="6">
        <v>957</v>
      </c>
    </row>
    <row r="134" spans="2:16" s="8" customFormat="1" ht="34.9" hidden="1" customHeight="1">
      <c r="B134" s="15">
        <v>41671</v>
      </c>
      <c r="C134" s="11">
        <v>3035.32</v>
      </c>
      <c r="D134" s="10">
        <v>4438.9799999999996</v>
      </c>
      <c r="E134" s="10">
        <v>1901.59</v>
      </c>
      <c r="F134" s="10">
        <v>2010.02</v>
      </c>
      <c r="G134" s="10">
        <v>2177.48</v>
      </c>
      <c r="H134" s="11">
        <v>1632.89</v>
      </c>
      <c r="I134" s="10">
        <v>912.84</v>
      </c>
      <c r="J134" s="10">
        <v>3796.93</v>
      </c>
      <c r="K134" s="10">
        <v>1255.55</v>
      </c>
      <c r="L134" s="10">
        <v>445.97</v>
      </c>
      <c r="M134" s="10">
        <v>1078.7</v>
      </c>
      <c r="N134" s="10">
        <v>557.12</v>
      </c>
      <c r="O134" s="10">
        <v>3971.39</v>
      </c>
      <c r="P134" s="10">
        <v>998.71</v>
      </c>
    </row>
    <row r="135" spans="2:16" s="8" customFormat="1" ht="34.9" hidden="1" customHeight="1">
      <c r="B135" s="14">
        <v>41699</v>
      </c>
      <c r="C135" s="7">
        <v>2974.5</v>
      </c>
      <c r="D135" s="6">
        <v>4331.6000000000004</v>
      </c>
      <c r="E135" s="6">
        <v>1919.6</v>
      </c>
      <c r="F135" s="6">
        <v>2008.4</v>
      </c>
      <c r="G135" s="6">
        <v>2149.1</v>
      </c>
      <c r="H135" s="7">
        <v>1621.4</v>
      </c>
      <c r="I135" s="6">
        <v>903.1</v>
      </c>
      <c r="J135" s="6">
        <v>3879.6</v>
      </c>
      <c r="K135" s="6">
        <v>1253.8</v>
      </c>
      <c r="L135" s="6">
        <v>424.7</v>
      </c>
      <c r="M135" s="6">
        <v>1108.5</v>
      </c>
      <c r="N135" s="6">
        <v>553</v>
      </c>
      <c r="O135" s="6">
        <v>3879.4</v>
      </c>
      <c r="P135" s="6">
        <v>970.6</v>
      </c>
    </row>
    <row r="136" spans="2:16" s="8" customFormat="1" ht="34.9" hidden="1" customHeight="1">
      <c r="B136" s="15">
        <v>41730</v>
      </c>
      <c r="C136" s="11">
        <v>2944.3</v>
      </c>
      <c r="D136" s="10">
        <v>4320.58</v>
      </c>
      <c r="E136" s="10">
        <v>1940.1</v>
      </c>
      <c r="F136" s="10">
        <v>1899.21</v>
      </c>
      <c r="G136" s="10">
        <v>2051.87</v>
      </c>
      <c r="H136" s="11">
        <v>1561.8</v>
      </c>
      <c r="I136" s="10">
        <v>972.74</v>
      </c>
      <c r="J136" s="10">
        <v>3730.41</v>
      </c>
      <c r="K136" s="10">
        <v>1203.3399999999999</v>
      </c>
      <c r="L136" s="10">
        <v>408.65</v>
      </c>
      <c r="M136" s="10">
        <v>1012.53</v>
      </c>
      <c r="N136" s="10">
        <v>545</v>
      </c>
      <c r="O136" s="10">
        <v>3730.78</v>
      </c>
      <c r="P136" s="10">
        <v>986.57</v>
      </c>
    </row>
    <row r="137" spans="2:16" s="8" customFormat="1" ht="34.9" hidden="1" customHeight="1">
      <c r="B137" s="14">
        <v>41760</v>
      </c>
      <c r="C137" s="7">
        <v>2959.1655458093319</v>
      </c>
      <c r="D137" s="6">
        <v>4394.2</v>
      </c>
      <c r="E137" s="6">
        <v>1896.3</v>
      </c>
      <c r="F137" s="6">
        <v>1818.1</v>
      </c>
      <c r="G137" s="6">
        <v>1955.6</v>
      </c>
      <c r="H137" s="7">
        <v>1590.6</v>
      </c>
      <c r="I137" s="6">
        <v>952.5</v>
      </c>
      <c r="J137" s="6">
        <v>3722</v>
      </c>
      <c r="K137" s="6">
        <v>1185</v>
      </c>
      <c r="L137" s="6">
        <v>380.9</v>
      </c>
      <c r="M137" s="6">
        <v>1065.5</v>
      </c>
      <c r="N137" s="6">
        <v>514.20000000000005</v>
      </c>
      <c r="O137" s="6">
        <v>3960</v>
      </c>
      <c r="P137" s="6">
        <v>997.3</v>
      </c>
    </row>
    <row r="138" spans="2:16" s="8" customFormat="1" ht="34.9" hidden="1" customHeight="1">
      <c r="B138" s="15">
        <v>41791</v>
      </c>
      <c r="C138" s="11">
        <v>2891.6588176068772</v>
      </c>
      <c r="D138" s="10">
        <v>4263.29268177227</v>
      </c>
      <c r="E138" s="10">
        <v>1962.9771789728866</v>
      </c>
      <c r="F138" s="10">
        <v>1824.4008416005718</v>
      </c>
      <c r="G138" s="10">
        <v>1944.6662930733421</v>
      </c>
      <c r="H138" s="11">
        <v>1635.2324104079953</v>
      </c>
      <c r="I138" s="10">
        <v>1014.1691698763937</v>
      </c>
      <c r="J138" s="10">
        <v>3904.9970489399557</v>
      </c>
      <c r="K138" s="10">
        <v>1216.0120553948234</v>
      </c>
      <c r="L138" s="10">
        <v>393.13229120460022</v>
      </c>
      <c r="M138" s="10">
        <v>1015.834340579067</v>
      </c>
      <c r="N138" s="10">
        <v>486.76491969949166</v>
      </c>
      <c r="O138" s="10">
        <v>4092.4293122085851</v>
      </c>
      <c r="P138" s="10">
        <v>1022.5350298009765</v>
      </c>
    </row>
    <row r="139" spans="2:16" s="8" customFormat="1" ht="34.9" hidden="1" customHeight="1">
      <c r="B139" s="14">
        <v>41821</v>
      </c>
      <c r="C139" s="7">
        <v>2914.1267298316952</v>
      </c>
      <c r="D139" s="6">
        <v>4289.0286463597658</v>
      </c>
      <c r="E139" s="6">
        <v>1947.6461227202292</v>
      </c>
      <c r="F139" s="6">
        <v>1839.9795739916087</v>
      </c>
      <c r="G139" s="6">
        <v>2008.5676687639789</v>
      </c>
      <c r="H139" s="7">
        <v>1649.9372655361576</v>
      </c>
      <c r="I139" s="6">
        <v>964.41775352496677</v>
      </c>
      <c r="J139" s="6">
        <v>3952.8908587356418</v>
      </c>
      <c r="K139" s="6">
        <v>1217.4294201185703</v>
      </c>
      <c r="L139" s="6">
        <v>396.84512671954229</v>
      </c>
      <c r="M139" s="6">
        <v>1019.1432472259044</v>
      </c>
      <c r="N139" s="6">
        <v>453.85468578667616</v>
      </c>
      <c r="O139" s="6">
        <v>4165.8273389714577</v>
      </c>
      <c r="P139" s="6">
        <v>1028.0720206304559</v>
      </c>
    </row>
    <row r="140" spans="2:16" s="8" customFormat="1" ht="34.9" hidden="1" customHeight="1">
      <c r="B140" s="15">
        <v>41852</v>
      </c>
      <c r="C140" s="11">
        <v>2906.9913137588528</v>
      </c>
      <c r="D140" s="10">
        <v>4288.6197980183779</v>
      </c>
      <c r="E140" s="10">
        <v>1951.3798327137624</v>
      </c>
      <c r="F140" s="10">
        <v>1822.184761022477</v>
      </c>
      <c r="G140" s="10">
        <v>1962.8072761051951</v>
      </c>
      <c r="H140" s="11">
        <v>1635.5176456838178</v>
      </c>
      <c r="I140" s="10">
        <v>992.36881748941994</v>
      </c>
      <c r="J140" s="10">
        <v>3951.4835107893955</v>
      </c>
      <c r="K140" s="10">
        <v>1221.6263486732682</v>
      </c>
      <c r="L140" s="10">
        <v>387.56596305062385</v>
      </c>
      <c r="M140" s="10">
        <v>1022.4521538727417</v>
      </c>
      <c r="N140" s="10">
        <v>385.17545352905819</v>
      </c>
      <c r="O140" s="10">
        <v>4059.0656649412704</v>
      </c>
      <c r="P140" s="10">
        <v>1070.8420569790221</v>
      </c>
    </row>
    <row r="141" spans="2:16" s="8" customFormat="1" ht="34.9" hidden="1" customHeight="1">
      <c r="B141" s="14">
        <v>41883</v>
      </c>
      <c r="C141" s="7">
        <v>2892.9</v>
      </c>
      <c r="D141" s="6">
        <v>4275.2</v>
      </c>
      <c r="E141" s="6">
        <v>1901.4</v>
      </c>
      <c r="F141" s="6">
        <v>1815</v>
      </c>
      <c r="G141" s="6">
        <v>1939.6</v>
      </c>
      <c r="H141" s="7">
        <v>1647.1</v>
      </c>
      <c r="I141" s="6">
        <v>970</v>
      </c>
      <c r="J141" s="6">
        <v>3946.7</v>
      </c>
      <c r="K141" s="6">
        <v>1214.0999999999999</v>
      </c>
      <c r="L141" s="6">
        <v>387.4</v>
      </c>
      <c r="M141" s="6">
        <v>1002.6</v>
      </c>
      <c r="N141" s="6">
        <v>469</v>
      </c>
      <c r="O141" s="6">
        <v>4156.1000000000004</v>
      </c>
      <c r="P141" s="6">
        <v>1064.5999999999999</v>
      </c>
    </row>
    <row r="142" spans="2:16" s="8" customFormat="1" ht="34.9" hidden="1" customHeight="1">
      <c r="B142" s="15">
        <v>41913</v>
      </c>
      <c r="C142" s="11">
        <v>2889.8</v>
      </c>
      <c r="D142" s="10">
        <v>4252.1000000000004</v>
      </c>
      <c r="E142" s="10">
        <v>1965.9</v>
      </c>
      <c r="F142" s="10">
        <v>1805.5</v>
      </c>
      <c r="G142" s="10">
        <v>2000.4</v>
      </c>
      <c r="H142" s="11">
        <v>1655</v>
      </c>
      <c r="I142" s="10">
        <v>983.6</v>
      </c>
      <c r="J142" s="10">
        <v>3981.6</v>
      </c>
      <c r="K142" s="10">
        <v>1235.0999999999999</v>
      </c>
      <c r="L142" s="10">
        <v>394.4</v>
      </c>
      <c r="M142" s="10">
        <v>1022.5</v>
      </c>
      <c r="N142" s="10">
        <v>396.3</v>
      </c>
      <c r="O142" s="10">
        <v>4129.3</v>
      </c>
      <c r="P142" s="10">
        <v>1081.5</v>
      </c>
    </row>
    <row r="143" spans="2:16" s="8" customFormat="1" ht="34.9" hidden="1" customHeight="1">
      <c r="B143" s="14">
        <v>41944</v>
      </c>
      <c r="C143" s="7">
        <v>2901.2</v>
      </c>
      <c r="D143" s="6">
        <v>4288.8999999999996</v>
      </c>
      <c r="E143" s="6">
        <v>1961.7</v>
      </c>
      <c r="F143" s="6">
        <v>1789.3</v>
      </c>
      <c r="G143" s="6">
        <v>1937.5</v>
      </c>
      <c r="H143" s="7">
        <v>1744.3</v>
      </c>
      <c r="I143" s="6">
        <v>969.4</v>
      </c>
      <c r="J143" s="6">
        <v>3982.3</v>
      </c>
      <c r="K143" s="6">
        <v>1247.0999999999999</v>
      </c>
      <c r="L143" s="6">
        <v>439.1</v>
      </c>
      <c r="M143" s="6">
        <v>1045.5999999999999</v>
      </c>
      <c r="N143" s="6">
        <v>400.1</v>
      </c>
      <c r="O143" s="6">
        <v>4618.3999999999996</v>
      </c>
      <c r="P143" s="6">
        <v>1054.3</v>
      </c>
    </row>
    <row r="144" spans="2:16" s="8" customFormat="1" ht="34.9" hidden="1" customHeight="1">
      <c r="B144" s="15">
        <v>41974</v>
      </c>
      <c r="C144" s="11">
        <v>2920.9</v>
      </c>
      <c r="D144" s="10">
        <v>4286.5</v>
      </c>
      <c r="E144" s="10">
        <v>1976.3</v>
      </c>
      <c r="F144" s="10">
        <v>1835.9</v>
      </c>
      <c r="G144" s="10">
        <v>2072.3000000000002</v>
      </c>
      <c r="H144" s="11">
        <v>1794.8</v>
      </c>
      <c r="I144" s="10">
        <v>975.5</v>
      </c>
      <c r="J144" s="10">
        <v>4052.7</v>
      </c>
      <c r="K144" s="10">
        <v>1257.5999999999999</v>
      </c>
      <c r="L144" s="10">
        <v>487.2</v>
      </c>
      <c r="M144" s="10">
        <v>1161.4000000000001</v>
      </c>
      <c r="N144" s="10">
        <v>419.5</v>
      </c>
      <c r="O144" s="10">
        <v>4677.5</v>
      </c>
      <c r="P144" s="10">
        <v>1080.5999999999999</v>
      </c>
    </row>
    <row r="145" spans="2:16" s="8" customFormat="1" ht="34.9" hidden="1" customHeight="1">
      <c r="B145" s="3">
        <v>2015</v>
      </c>
      <c r="C145" s="13"/>
      <c r="D145" s="12"/>
      <c r="E145" s="12"/>
      <c r="F145" s="12"/>
      <c r="G145" s="12"/>
      <c r="H145" s="13"/>
      <c r="I145" s="12"/>
      <c r="J145" s="12"/>
      <c r="K145" s="12"/>
      <c r="L145" s="12"/>
      <c r="M145" s="12"/>
      <c r="N145" s="12"/>
      <c r="O145" s="12"/>
      <c r="P145" s="12"/>
    </row>
    <row r="146" spans="2:16" s="8" customFormat="1" ht="34.9" hidden="1" customHeight="1">
      <c r="B146" s="14">
        <v>42005</v>
      </c>
      <c r="C146" s="7">
        <v>2944.7</v>
      </c>
      <c r="D146" s="6">
        <v>4308.6000000000004</v>
      </c>
      <c r="E146" s="6">
        <v>1982.4</v>
      </c>
      <c r="F146" s="6">
        <v>1820</v>
      </c>
      <c r="G146" s="6">
        <v>2183</v>
      </c>
      <c r="H146" s="7">
        <v>1771.7</v>
      </c>
      <c r="I146" s="6">
        <v>972.1</v>
      </c>
      <c r="J146" s="6">
        <v>4080.3</v>
      </c>
      <c r="K146" s="6">
        <v>1270.5</v>
      </c>
      <c r="L146" s="6">
        <v>464</v>
      </c>
      <c r="M146" s="6">
        <v>1091.9000000000001</v>
      </c>
      <c r="N146" s="6">
        <v>382.9</v>
      </c>
      <c r="O146" s="6">
        <v>4610.6000000000004</v>
      </c>
      <c r="P146" s="6">
        <v>1076.4000000000001</v>
      </c>
    </row>
    <row r="147" spans="2:16" s="8" customFormat="1" ht="34.9" hidden="1" customHeight="1">
      <c r="B147" s="15">
        <v>42036</v>
      </c>
      <c r="C147" s="11">
        <v>2984.9</v>
      </c>
      <c r="D147" s="10">
        <v>4350.8999999999996</v>
      </c>
      <c r="E147" s="10">
        <v>1989.6</v>
      </c>
      <c r="F147" s="10">
        <v>1823.4</v>
      </c>
      <c r="G147" s="10">
        <v>2322.3000000000002</v>
      </c>
      <c r="H147" s="11">
        <v>1823</v>
      </c>
      <c r="I147" s="10">
        <v>986.1</v>
      </c>
      <c r="J147" s="10">
        <v>4186.5</v>
      </c>
      <c r="K147" s="10">
        <v>1258.8</v>
      </c>
      <c r="L147" s="10">
        <v>473.9</v>
      </c>
      <c r="M147" s="10">
        <v>1108.5</v>
      </c>
      <c r="N147" s="10">
        <v>375.4</v>
      </c>
      <c r="O147" s="10">
        <v>4874</v>
      </c>
      <c r="P147" s="10">
        <v>1071.8</v>
      </c>
    </row>
    <row r="148" spans="2:16" s="8" customFormat="1" ht="34.9" hidden="1" customHeight="1">
      <c r="B148" s="14">
        <v>42064</v>
      </c>
      <c r="C148" s="7">
        <v>2890.5</v>
      </c>
      <c r="D148" s="6">
        <v>4221.8999999999996</v>
      </c>
      <c r="E148" s="6">
        <v>2002.2</v>
      </c>
      <c r="F148" s="6">
        <v>1763.5</v>
      </c>
      <c r="G148" s="6">
        <v>2172.4</v>
      </c>
      <c r="H148" s="7">
        <v>1785.9</v>
      </c>
      <c r="I148" s="6">
        <v>882.4</v>
      </c>
      <c r="J148" s="6">
        <v>4108.8999999999996</v>
      </c>
      <c r="K148" s="6">
        <v>1192.4000000000001</v>
      </c>
      <c r="L148" s="6">
        <v>434.6</v>
      </c>
      <c r="M148" s="6">
        <v>1042.3</v>
      </c>
      <c r="N148" s="6">
        <v>272.7</v>
      </c>
      <c r="O148" s="6">
        <v>4919.6000000000004</v>
      </c>
      <c r="P148" s="6">
        <v>1098.5</v>
      </c>
    </row>
    <row r="149" spans="2:16" s="8" customFormat="1" ht="34.9" hidden="1" customHeight="1">
      <c r="B149" s="15">
        <v>42095</v>
      </c>
      <c r="C149" s="11">
        <v>2845.7</v>
      </c>
      <c r="D149" s="10">
        <v>4154.1000000000004</v>
      </c>
      <c r="E149" s="10">
        <v>1987.8</v>
      </c>
      <c r="F149" s="10">
        <v>1709.5</v>
      </c>
      <c r="G149" s="10">
        <v>2166.8000000000002</v>
      </c>
      <c r="H149" s="11">
        <v>1769.9</v>
      </c>
      <c r="I149" s="10">
        <v>895.4</v>
      </c>
      <c r="J149" s="10">
        <v>3956.9</v>
      </c>
      <c r="K149" s="10">
        <v>1155.2</v>
      </c>
      <c r="L149" s="10">
        <v>415</v>
      </c>
      <c r="M149" s="10">
        <v>966.2</v>
      </c>
      <c r="N149" s="10">
        <v>322.2</v>
      </c>
      <c r="O149" s="10">
        <v>5121.3</v>
      </c>
      <c r="P149" s="10">
        <v>1002.2</v>
      </c>
    </row>
    <row r="150" spans="2:16" s="8" customFormat="1" ht="34.9" hidden="1" customHeight="1">
      <c r="B150" s="14">
        <v>42125</v>
      </c>
      <c r="C150" s="7">
        <v>2888.1</v>
      </c>
      <c r="D150" s="6">
        <v>4242.6000000000004</v>
      </c>
      <c r="E150" s="6">
        <v>1958</v>
      </c>
      <c r="F150" s="6">
        <v>1701.6</v>
      </c>
      <c r="G150" s="6">
        <v>2119.8000000000002</v>
      </c>
      <c r="H150" s="7">
        <v>1862.7</v>
      </c>
      <c r="I150" s="6">
        <v>924.2</v>
      </c>
      <c r="J150" s="6">
        <v>3924.5</v>
      </c>
      <c r="K150" s="6">
        <v>1178.5999999999999</v>
      </c>
      <c r="L150" s="6">
        <v>408.6</v>
      </c>
      <c r="M150" s="6">
        <v>992.7</v>
      </c>
      <c r="N150" s="6">
        <v>295.8</v>
      </c>
      <c r="O150" s="6">
        <v>5687.6</v>
      </c>
      <c r="P150" s="6">
        <v>1022.9</v>
      </c>
    </row>
    <row r="151" spans="2:16" s="8" customFormat="1" ht="34.9" hidden="1" customHeight="1">
      <c r="B151" s="15">
        <v>42156</v>
      </c>
      <c r="C151" s="11">
        <v>2811.8</v>
      </c>
      <c r="D151" s="10">
        <v>4116.7</v>
      </c>
      <c r="E151" s="10">
        <v>1951.1</v>
      </c>
      <c r="F151" s="10">
        <v>1712.9</v>
      </c>
      <c r="G151" s="10">
        <v>2062.3000000000002</v>
      </c>
      <c r="H151" s="11">
        <v>1790.3</v>
      </c>
      <c r="I151" s="10">
        <v>971.8</v>
      </c>
      <c r="J151" s="10">
        <v>4122.8999999999996</v>
      </c>
      <c r="K151" s="10">
        <v>1180.2</v>
      </c>
      <c r="L151" s="10">
        <v>385.7</v>
      </c>
      <c r="M151" s="10">
        <v>992.7</v>
      </c>
      <c r="N151" s="10">
        <v>292.2</v>
      </c>
      <c r="O151" s="10">
        <v>5131.2</v>
      </c>
      <c r="P151" s="10">
        <v>1023.6</v>
      </c>
    </row>
    <row r="152" spans="2:16" s="8" customFormat="1" ht="34.9" hidden="1" customHeight="1">
      <c r="B152" s="14">
        <v>42186</v>
      </c>
      <c r="C152" s="7">
        <v>2835.3</v>
      </c>
      <c r="D152" s="6">
        <v>4106.6000000000004</v>
      </c>
      <c r="E152" s="6">
        <v>2012.2</v>
      </c>
      <c r="F152" s="6">
        <v>1777.2</v>
      </c>
      <c r="G152" s="6">
        <v>2232</v>
      </c>
      <c r="H152" s="7">
        <v>1766.3</v>
      </c>
      <c r="I152" s="6">
        <v>946.6</v>
      </c>
      <c r="J152" s="6">
        <v>3966.8</v>
      </c>
      <c r="K152" s="6">
        <v>1139.2</v>
      </c>
      <c r="L152" s="6">
        <v>400.7</v>
      </c>
      <c r="M152" s="6">
        <v>972.8</v>
      </c>
      <c r="N152" s="6">
        <v>259.5</v>
      </c>
      <c r="O152" s="6">
        <v>5105.1000000000004</v>
      </c>
      <c r="P152" s="6">
        <v>1043.4000000000001</v>
      </c>
    </row>
    <row r="153" spans="2:16" s="8" customFormat="1" ht="34.9" hidden="1" customHeight="1">
      <c r="B153" s="15">
        <v>42217</v>
      </c>
      <c r="C153" s="11">
        <v>2860.43</v>
      </c>
      <c r="D153" s="10">
        <v>4170.91</v>
      </c>
      <c r="E153" s="10">
        <v>2001.85</v>
      </c>
      <c r="F153" s="10">
        <v>1712.03</v>
      </c>
      <c r="G153" s="10">
        <v>2201.4499999999998</v>
      </c>
      <c r="H153" s="11">
        <v>1664.2</v>
      </c>
      <c r="I153" s="10">
        <v>952.33</v>
      </c>
      <c r="J153" s="10">
        <v>3906.67</v>
      </c>
      <c r="K153" s="10">
        <v>1107.21</v>
      </c>
      <c r="L153" s="10">
        <v>393.3</v>
      </c>
      <c r="M153" s="10">
        <v>790.83</v>
      </c>
      <c r="N153" s="10">
        <v>228.94</v>
      </c>
      <c r="O153" s="10">
        <v>4762.68</v>
      </c>
      <c r="P153" s="10">
        <v>984.64</v>
      </c>
    </row>
    <row r="154" spans="2:16" s="8" customFormat="1" ht="34.9" hidden="1" customHeight="1">
      <c r="B154" s="14">
        <v>42248</v>
      </c>
      <c r="C154" s="7">
        <v>2829.17</v>
      </c>
      <c r="D154" s="6">
        <v>4082.16</v>
      </c>
      <c r="E154" s="6">
        <v>2032.47</v>
      </c>
      <c r="F154" s="6">
        <v>1686.79</v>
      </c>
      <c r="G154" s="6">
        <v>2376.37</v>
      </c>
      <c r="H154" s="7">
        <v>1592.93</v>
      </c>
      <c r="I154" s="6">
        <v>924.46</v>
      </c>
      <c r="J154" s="6">
        <v>3944.57</v>
      </c>
      <c r="K154" s="6">
        <v>1082.53</v>
      </c>
      <c r="L154" s="6">
        <v>388.03</v>
      </c>
      <c r="M154" s="6">
        <v>701.49</v>
      </c>
      <c r="N154" s="6">
        <v>224.58</v>
      </c>
      <c r="O154" s="6">
        <v>4449.62</v>
      </c>
      <c r="P154" s="6">
        <v>946.6</v>
      </c>
    </row>
    <row r="155" spans="2:16" s="8" customFormat="1" ht="34.9" hidden="1" customHeight="1">
      <c r="B155" s="15">
        <v>42278</v>
      </c>
      <c r="C155" s="11">
        <v>2797.87</v>
      </c>
      <c r="D155" s="10">
        <v>4029.91</v>
      </c>
      <c r="E155" s="10">
        <v>2016.74</v>
      </c>
      <c r="F155" s="10">
        <v>1710.13</v>
      </c>
      <c r="G155" s="10">
        <v>2340.35</v>
      </c>
      <c r="H155" s="11">
        <v>1607.37</v>
      </c>
      <c r="I155" s="10">
        <v>973.17</v>
      </c>
      <c r="J155" s="10">
        <v>3995.29</v>
      </c>
      <c r="K155" s="10">
        <v>1029.28</v>
      </c>
      <c r="L155" s="10">
        <v>379.98</v>
      </c>
      <c r="M155" s="10">
        <v>684.94</v>
      </c>
      <c r="N155" s="10">
        <v>202.78</v>
      </c>
      <c r="O155" s="10">
        <v>4574.75</v>
      </c>
      <c r="P155" s="10">
        <v>965.73</v>
      </c>
    </row>
    <row r="156" spans="2:16" s="8" customFormat="1" ht="34.9" hidden="1" customHeight="1">
      <c r="B156" s="14">
        <v>42309</v>
      </c>
      <c r="C156" s="7">
        <v>2730.18</v>
      </c>
      <c r="D156" s="6">
        <v>3981.7</v>
      </c>
      <c r="E156" s="6">
        <v>2019.02</v>
      </c>
      <c r="F156" s="6">
        <v>1613.05</v>
      </c>
      <c r="G156" s="6">
        <v>2053.65</v>
      </c>
      <c r="H156" s="7">
        <v>1582.92</v>
      </c>
      <c r="I156" s="6">
        <v>1008.67</v>
      </c>
      <c r="J156" s="6">
        <v>3982.6</v>
      </c>
      <c r="K156" s="6">
        <v>1020.36</v>
      </c>
      <c r="L156" s="6">
        <v>391.14</v>
      </c>
      <c r="M156" s="6">
        <v>721.34</v>
      </c>
      <c r="N156" s="6">
        <v>191.88</v>
      </c>
      <c r="O156" s="6">
        <v>4354.8999999999996</v>
      </c>
      <c r="P156" s="6">
        <v>991.14</v>
      </c>
    </row>
    <row r="157" spans="2:16" s="8" customFormat="1" ht="34.9" hidden="1" customHeight="1">
      <c r="B157" s="15">
        <v>42339</v>
      </c>
      <c r="C157" s="11">
        <v>2906.17</v>
      </c>
      <c r="D157" s="10">
        <v>4249.67</v>
      </c>
      <c r="E157" s="10">
        <v>2064.58</v>
      </c>
      <c r="F157" s="10">
        <v>1695.49</v>
      </c>
      <c r="G157" s="10">
        <v>2194.4299999999998</v>
      </c>
      <c r="H157" s="11">
        <v>1726.73</v>
      </c>
      <c r="I157" s="10">
        <v>966.63</v>
      </c>
      <c r="J157" s="10">
        <v>4012.3</v>
      </c>
      <c r="K157" s="10">
        <v>1040.51</v>
      </c>
      <c r="L157" s="10">
        <v>404.04</v>
      </c>
      <c r="M157" s="10">
        <v>1161.43</v>
      </c>
      <c r="N157" s="10">
        <v>189.7</v>
      </c>
      <c r="O157" s="10">
        <v>4803.09</v>
      </c>
      <c r="P157" s="10">
        <v>1026.97</v>
      </c>
    </row>
    <row r="158" spans="2:16" s="8" customFormat="1" ht="34.9" hidden="1" customHeight="1">
      <c r="B158" s="3">
        <v>2016</v>
      </c>
      <c r="C158" s="13"/>
      <c r="D158" s="12"/>
      <c r="E158" s="12"/>
      <c r="F158" s="12"/>
      <c r="G158" s="12"/>
      <c r="H158" s="13"/>
      <c r="I158" s="12"/>
      <c r="J158" s="12"/>
      <c r="K158" s="12"/>
      <c r="L158" s="12"/>
      <c r="M158" s="12"/>
      <c r="N158" s="12"/>
      <c r="O158" s="12"/>
      <c r="P158" s="12"/>
    </row>
    <row r="159" spans="2:16" s="8" customFormat="1" ht="34.9" hidden="1" customHeight="1">
      <c r="B159" s="14">
        <v>42370</v>
      </c>
      <c r="C159" s="7">
        <v>2943.85</v>
      </c>
      <c r="D159" s="6">
        <v>4315.46</v>
      </c>
      <c r="E159" s="6">
        <v>2061.62</v>
      </c>
      <c r="F159" s="6">
        <v>1697.38</v>
      </c>
      <c r="G159" s="6">
        <v>2207.56</v>
      </c>
      <c r="H159" s="7">
        <v>1719.63</v>
      </c>
      <c r="I159" s="6">
        <v>956.08</v>
      </c>
      <c r="J159" s="6">
        <v>3991.33</v>
      </c>
      <c r="K159" s="6">
        <v>1026.25</v>
      </c>
      <c r="L159" s="6">
        <v>396.52</v>
      </c>
      <c r="M159" s="6">
        <v>895.57</v>
      </c>
      <c r="N159" s="6">
        <v>239.85</v>
      </c>
      <c r="O159" s="6">
        <v>5036.88</v>
      </c>
      <c r="P159" s="6">
        <v>1042.6199999999999</v>
      </c>
    </row>
    <row r="160" spans="2:16" s="8" customFormat="1" ht="34.9" hidden="1" customHeight="1">
      <c r="B160" s="15">
        <v>42401</v>
      </c>
      <c r="C160" s="11">
        <v>2914.18</v>
      </c>
      <c r="D160" s="10">
        <v>4258.1400000000003</v>
      </c>
      <c r="E160" s="10">
        <v>2032.13</v>
      </c>
      <c r="F160" s="10">
        <v>1748.72</v>
      </c>
      <c r="G160" s="10">
        <v>2182.5700000000002</v>
      </c>
      <c r="H160" s="11">
        <v>1659.52</v>
      </c>
      <c r="I160" s="10">
        <v>908.94</v>
      </c>
      <c r="J160" s="10">
        <v>3988.14</v>
      </c>
      <c r="K160" s="10">
        <v>1013.94</v>
      </c>
      <c r="L160" s="10">
        <v>369.75</v>
      </c>
      <c r="M160" s="10">
        <v>786.21</v>
      </c>
      <c r="N160" s="10">
        <v>204.96</v>
      </c>
      <c r="O160" s="10">
        <v>4830.76</v>
      </c>
      <c r="P160" s="10">
        <v>1052.06</v>
      </c>
    </row>
    <row r="161" spans="2:16" s="8" customFormat="1" ht="34.9" hidden="1" customHeight="1">
      <c r="B161" s="14">
        <v>42430</v>
      </c>
      <c r="C161" s="7">
        <v>2890.67</v>
      </c>
      <c r="D161" s="6">
        <v>4237.76</v>
      </c>
      <c r="E161" s="6">
        <v>2044.68</v>
      </c>
      <c r="F161" s="6">
        <v>1679.79</v>
      </c>
      <c r="G161" s="6">
        <v>2144.1</v>
      </c>
      <c r="H161" s="7">
        <v>1669.25</v>
      </c>
      <c r="I161" s="6">
        <v>898.17</v>
      </c>
      <c r="J161" s="6">
        <v>3960.92</v>
      </c>
      <c r="K161" s="6">
        <v>1007.22</v>
      </c>
      <c r="L161" s="6">
        <v>349.04</v>
      </c>
      <c r="M161" s="6">
        <v>753.25</v>
      </c>
      <c r="N161" s="6">
        <v>187.52</v>
      </c>
      <c r="O161" s="6">
        <v>5046.45</v>
      </c>
      <c r="P161" s="6">
        <v>1017.93</v>
      </c>
    </row>
    <row r="162" spans="2:16" s="8" customFormat="1" ht="34.9" hidden="1" customHeight="1">
      <c r="B162" s="15">
        <v>42461</v>
      </c>
      <c r="C162" s="11">
        <v>2826.7</v>
      </c>
      <c r="D162" s="10">
        <v>4143.3999999999996</v>
      </c>
      <c r="E162" s="10">
        <v>2063.3000000000002</v>
      </c>
      <c r="F162" s="10">
        <v>1628.9</v>
      </c>
      <c r="G162" s="10">
        <v>2083.6999999999998</v>
      </c>
      <c r="H162" s="11">
        <v>1614</v>
      </c>
      <c r="I162" s="10">
        <v>881.9</v>
      </c>
      <c r="J162" s="10">
        <v>3753.7</v>
      </c>
      <c r="K162" s="10">
        <v>979.6</v>
      </c>
      <c r="L162" s="10">
        <v>340.4</v>
      </c>
      <c r="M162" s="10">
        <v>668.4</v>
      </c>
      <c r="N162" s="10">
        <v>178.8</v>
      </c>
      <c r="O162" s="10">
        <v>4944.5</v>
      </c>
      <c r="P162" s="10">
        <v>997.4</v>
      </c>
    </row>
    <row r="163" spans="2:16" s="8" customFormat="1" ht="34.9" hidden="1" customHeight="1">
      <c r="B163" s="14">
        <v>42491</v>
      </c>
      <c r="C163" s="7">
        <v>2845.65</v>
      </c>
      <c r="D163" s="6">
        <v>4160.3100000000004</v>
      </c>
      <c r="E163" s="6">
        <v>2129.02</v>
      </c>
      <c r="F163" s="6">
        <v>1608.15</v>
      </c>
      <c r="G163" s="6">
        <v>2157.0500000000002</v>
      </c>
      <c r="H163" s="7">
        <v>1606.2</v>
      </c>
      <c r="I163" s="6">
        <v>843.47</v>
      </c>
      <c r="J163" s="6">
        <v>3807.28</v>
      </c>
      <c r="K163" s="6">
        <v>1009.39</v>
      </c>
      <c r="L163" s="6">
        <v>343.04</v>
      </c>
      <c r="M163" s="6">
        <v>619.89</v>
      </c>
      <c r="N163" s="6">
        <v>183.16</v>
      </c>
      <c r="O163" s="6">
        <v>4797.6899999999996</v>
      </c>
      <c r="P163" s="6">
        <v>1078.95</v>
      </c>
    </row>
    <row r="164" spans="2:16" s="8" customFormat="1" ht="34.9" hidden="1" customHeight="1">
      <c r="B164" s="15">
        <v>42522</v>
      </c>
      <c r="C164" s="11">
        <v>2799.54</v>
      </c>
      <c r="D164" s="10">
        <v>4109.8</v>
      </c>
      <c r="E164" s="10">
        <v>2092</v>
      </c>
      <c r="F164" s="10">
        <v>1568.49</v>
      </c>
      <c r="G164" s="10">
        <v>2058.0300000000002</v>
      </c>
      <c r="H164" s="11">
        <v>1594.1</v>
      </c>
      <c r="I164" s="10">
        <v>847.7</v>
      </c>
      <c r="J164" s="10">
        <v>3820.17</v>
      </c>
      <c r="K164" s="10">
        <v>1007.82</v>
      </c>
      <c r="L164" s="10">
        <v>352.2</v>
      </c>
      <c r="M164" s="10">
        <v>614.42999999999995</v>
      </c>
      <c r="N164" s="10">
        <v>176.61</v>
      </c>
      <c r="O164" s="10">
        <v>4730.92</v>
      </c>
      <c r="P164" s="10">
        <v>1055.7</v>
      </c>
    </row>
    <row r="165" spans="2:16" s="8" customFormat="1" ht="34.9" hidden="1" customHeight="1">
      <c r="B165" s="14">
        <v>42552</v>
      </c>
      <c r="C165" s="7">
        <v>2810.52</v>
      </c>
      <c r="D165" s="6">
        <v>4139.7299999999996</v>
      </c>
      <c r="E165" s="6">
        <v>2056.23</v>
      </c>
      <c r="F165" s="6">
        <v>1570.93</v>
      </c>
      <c r="G165" s="6">
        <v>2026.09</v>
      </c>
      <c r="H165" s="7">
        <v>1603.83</v>
      </c>
      <c r="I165" s="6">
        <v>836</v>
      </c>
      <c r="J165" s="6">
        <v>3779.23</v>
      </c>
      <c r="K165" s="6">
        <v>1009.64</v>
      </c>
      <c r="L165" s="6">
        <v>353.75</v>
      </c>
      <c r="M165" s="6">
        <v>627.38</v>
      </c>
      <c r="N165" s="6">
        <v>172.25</v>
      </c>
      <c r="O165" s="6">
        <v>4773.4799999999996</v>
      </c>
      <c r="P165" s="6">
        <v>1090.03</v>
      </c>
    </row>
    <row r="166" spans="2:16" s="8" customFormat="1" ht="34.9" hidden="1" customHeight="1">
      <c r="B166" s="15">
        <v>42583</v>
      </c>
      <c r="C166" s="11">
        <v>2828.72</v>
      </c>
      <c r="D166" s="10">
        <v>4174</v>
      </c>
      <c r="E166" s="10">
        <v>2086.13</v>
      </c>
      <c r="F166" s="10">
        <v>1559.28</v>
      </c>
      <c r="G166" s="10">
        <v>2017.12</v>
      </c>
      <c r="H166" s="11">
        <v>1576.68</v>
      </c>
      <c r="I166" s="10">
        <v>824.88</v>
      </c>
      <c r="J166" s="10">
        <v>3541.18</v>
      </c>
      <c r="K166" s="10">
        <v>993.18</v>
      </c>
      <c r="L166" s="10">
        <v>331.82</v>
      </c>
      <c r="M166" s="10">
        <v>591.17999999999995</v>
      </c>
      <c r="N166" s="10">
        <v>187.52</v>
      </c>
      <c r="O166" s="10">
        <v>4835.05</v>
      </c>
      <c r="P166" s="10">
        <v>1067.42</v>
      </c>
    </row>
    <row r="167" spans="2:16" s="8" customFormat="1" ht="34.9" hidden="1" customHeight="1">
      <c r="B167" s="14">
        <v>42614</v>
      </c>
      <c r="C167" s="7">
        <v>2884.33</v>
      </c>
      <c r="D167" s="6">
        <v>4287.08</v>
      </c>
      <c r="E167" s="6">
        <v>2098.61</v>
      </c>
      <c r="F167" s="6">
        <v>1552.56</v>
      </c>
      <c r="G167" s="6">
        <v>1961.47</v>
      </c>
      <c r="H167" s="7">
        <v>1620.24</v>
      </c>
      <c r="I167" s="6">
        <v>807.24</v>
      </c>
      <c r="J167" s="6">
        <v>3637.61</v>
      </c>
      <c r="K167" s="6">
        <v>989.62</v>
      </c>
      <c r="L167" s="6">
        <v>345.35</v>
      </c>
      <c r="M167" s="6">
        <v>653.99</v>
      </c>
      <c r="N167" s="6">
        <v>185.34</v>
      </c>
      <c r="O167" s="6">
        <v>4988.78</v>
      </c>
      <c r="P167" s="6">
        <v>1087.9100000000001</v>
      </c>
    </row>
    <row r="168" spans="2:16" s="8" customFormat="1" ht="34.9" hidden="1" customHeight="1">
      <c r="B168" s="15">
        <v>42644</v>
      </c>
      <c r="C168" s="11">
        <v>2865.38</v>
      </c>
      <c r="D168" s="10">
        <v>4254.38</v>
      </c>
      <c r="E168" s="10">
        <v>2098.4899999999998</v>
      </c>
      <c r="F168" s="10">
        <v>1536.34</v>
      </c>
      <c r="G168" s="10">
        <v>1970.93</v>
      </c>
      <c r="H168" s="11">
        <v>1613.18</v>
      </c>
      <c r="I168" s="10">
        <v>796.99</v>
      </c>
      <c r="J168" s="10">
        <v>3628.91</v>
      </c>
      <c r="K168" s="10">
        <v>991.69</v>
      </c>
      <c r="L168" s="10">
        <v>350.09</v>
      </c>
      <c r="M168" s="10">
        <v>656.09</v>
      </c>
      <c r="N168" s="10">
        <v>170.07</v>
      </c>
      <c r="O168" s="10">
        <v>4947.1099999999997</v>
      </c>
      <c r="P168" s="10">
        <v>1081.51</v>
      </c>
    </row>
    <row r="169" spans="2:16" s="8" customFormat="1" ht="34.9" hidden="1" customHeight="1">
      <c r="B169" s="14">
        <v>42675</v>
      </c>
      <c r="C169" s="7">
        <v>2925.13</v>
      </c>
      <c r="D169" s="6">
        <v>4348.8</v>
      </c>
      <c r="E169" s="6">
        <v>2076.81</v>
      </c>
      <c r="F169" s="6">
        <v>1607.68</v>
      </c>
      <c r="G169" s="6">
        <v>1973.53</v>
      </c>
      <c r="H169" s="7">
        <v>1622.69</v>
      </c>
      <c r="I169" s="6">
        <v>796.47</v>
      </c>
      <c r="J169" s="6">
        <v>3553.76</v>
      </c>
      <c r="K169" s="6">
        <v>968.9</v>
      </c>
      <c r="L169" s="6">
        <v>336.44</v>
      </c>
      <c r="M169" s="6">
        <v>790.61</v>
      </c>
      <c r="N169" s="6">
        <v>172.25</v>
      </c>
      <c r="O169" s="6">
        <v>4951.95</v>
      </c>
      <c r="P169" s="6">
        <v>1121.47</v>
      </c>
    </row>
    <row r="170" spans="2:16" s="8" customFormat="1" ht="34.9" hidden="1" customHeight="1">
      <c r="B170" s="15">
        <v>42705</v>
      </c>
      <c r="C170" s="11">
        <v>2933.21</v>
      </c>
      <c r="D170" s="10">
        <v>4376</v>
      </c>
      <c r="E170" s="10">
        <v>2073.37</v>
      </c>
      <c r="F170" s="10">
        <v>1573.32</v>
      </c>
      <c r="G170" s="10">
        <v>1948.65</v>
      </c>
      <c r="H170" s="11">
        <v>1604.67</v>
      </c>
      <c r="I170" s="10">
        <v>814.14</v>
      </c>
      <c r="J170" s="10">
        <v>3512.97</v>
      </c>
      <c r="K170" s="10">
        <v>992.73</v>
      </c>
      <c r="L170" s="10">
        <v>344.25</v>
      </c>
      <c r="M170" s="10">
        <v>659.1</v>
      </c>
      <c r="N170" s="10">
        <v>170.07</v>
      </c>
      <c r="O170" s="10">
        <v>4940.8500000000004</v>
      </c>
      <c r="P170" s="10">
        <v>1097.0899999999999</v>
      </c>
    </row>
    <row r="171" spans="2:16" s="8" customFormat="1" ht="34.9" hidden="1" customHeight="1">
      <c r="B171" s="3">
        <v>2017</v>
      </c>
      <c r="C171" s="13"/>
      <c r="D171" s="12"/>
      <c r="E171" s="12"/>
      <c r="F171" s="12"/>
      <c r="G171" s="12"/>
      <c r="H171" s="13"/>
      <c r="I171" s="12"/>
      <c r="J171" s="12"/>
      <c r="K171" s="12"/>
      <c r="L171" s="12"/>
      <c r="M171" s="12"/>
      <c r="N171" s="12"/>
      <c r="O171" s="12"/>
      <c r="P171" s="12"/>
    </row>
    <row r="172" spans="2:16" s="8" customFormat="1" ht="34.9" hidden="1" customHeight="1">
      <c r="B172" s="14">
        <v>42736</v>
      </c>
      <c r="C172" s="7">
        <v>2973.05</v>
      </c>
      <c r="D172" s="6">
        <v>4428.87</v>
      </c>
      <c r="E172" s="6">
        <v>1988.39</v>
      </c>
      <c r="F172" s="6">
        <v>1668.03</v>
      </c>
      <c r="G172" s="6">
        <v>1977.12</v>
      </c>
      <c r="H172" s="7">
        <v>1594.98</v>
      </c>
      <c r="I172" s="6">
        <v>771.5</v>
      </c>
      <c r="J172" s="6">
        <v>3480.23</v>
      </c>
      <c r="K172" s="6">
        <v>1014.78</v>
      </c>
      <c r="L172" s="6">
        <v>364.7</v>
      </c>
      <c r="M172" s="6">
        <v>621.64</v>
      </c>
      <c r="N172" s="6">
        <v>148.27000000000001</v>
      </c>
      <c r="O172" s="6">
        <v>4884.74</v>
      </c>
      <c r="P172" s="6">
        <v>1126.6300000000001</v>
      </c>
    </row>
    <row r="173" spans="2:16" s="8" customFormat="1" ht="34.9" hidden="1" customHeight="1">
      <c r="B173" s="15">
        <v>42767</v>
      </c>
      <c r="C173" s="11">
        <v>3045.89</v>
      </c>
      <c r="D173" s="10">
        <v>4563.9799999999996</v>
      </c>
      <c r="E173" s="10">
        <v>2048.5100000000002</v>
      </c>
      <c r="F173" s="10">
        <v>1659.14</v>
      </c>
      <c r="G173" s="10">
        <v>1947.03</v>
      </c>
      <c r="H173" s="11">
        <v>1600.07</v>
      </c>
      <c r="I173" s="10">
        <v>746.6</v>
      </c>
      <c r="J173" s="10">
        <v>3544.72</v>
      </c>
      <c r="K173" s="10">
        <v>1027.03</v>
      </c>
      <c r="L173" s="10">
        <v>359.61</v>
      </c>
      <c r="M173" s="10">
        <v>653.14</v>
      </c>
      <c r="N173" s="10">
        <v>143.91</v>
      </c>
      <c r="O173" s="10">
        <v>4782.28</v>
      </c>
      <c r="P173" s="10">
        <v>1186.08</v>
      </c>
    </row>
    <row r="174" spans="2:16" s="8" customFormat="1" ht="34.9" hidden="1" customHeight="1">
      <c r="B174" s="14">
        <v>42795</v>
      </c>
      <c r="C174" s="7">
        <v>3091.82</v>
      </c>
      <c r="D174" s="6">
        <v>4619.6899999999996</v>
      </c>
      <c r="E174" s="6">
        <v>2047.01</v>
      </c>
      <c r="F174" s="6">
        <v>1734.32</v>
      </c>
      <c r="G174" s="6">
        <v>1998.09</v>
      </c>
      <c r="H174" s="7">
        <v>1623.15</v>
      </c>
      <c r="I174" s="6">
        <v>740.78</v>
      </c>
      <c r="J174" s="6">
        <v>3476.14</v>
      </c>
      <c r="K174" s="6">
        <v>1037.71</v>
      </c>
      <c r="L174" s="6">
        <v>355.24</v>
      </c>
      <c r="M174" s="6">
        <v>660.84</v>
      </c>
      <c r="N174" s="6">
        <v>141.72999999999999</v>
      </c>
      <c r="O174" s="6">
        <v>4937.59</v>
      </c>
      <c r="P174" s="6">
        <v>1219.53</v>
      </c>
    </row>
    <row r="175" spans="2:16" s="8" customFormat="1" ht="34.9" hidden="1" customHeight="1">
      <c r="B175" s="15">
        <v>42826</v>
      </c>
      <c r="C175" s="11">
        <v>2975.8</v>
      </c>
      <c r="D175" s="10">
        <v>4422.8100000000004</v>
      </c>
      <c r="E175" s="10">
        <v>2023.06</v>
      </c>
      <c r="F175" s="10">
        <v>1725.94</v>
      </c>
      <c r="G175" s="10">
        <v>1954.4</v>
      </c>
      <c r="H175" s="11">
        <v>1601.25</v>
      </c>
      <c r="I175" s="10">
        <v>764.1</v>
      </c>
      <c r="J175" s="10">
        <v>3305.1</v>
      </c>
      <c r="K175" s="10">
        <v>1034.6300000000001</v>
      </c>
      <c r="L175" s="10">
        <v>345.51</v>
      </c>
      <c r="M175" s="10">
        <v>657.76</v>
      </c>
      <c r="N175" s="10">
        <v>137.37</v>
      </c>
      <c r="O175" s="10">
        <v>4955.08</v>
      </c>
      <c r="P175" s="10">
        <v>1174.32</v>
      </c>
    </row>
    <row r="176" spans="2:16" s="8" customFormat="1" ht="34.9" hidden="1" customHeight="1">
      <c r="B176" s="14">
        <v>42856</v>
      </c>
      <c r="C176" s="7">
        <v>2942.13</v>
      </c>
      <c r="D176" s="6">
        <v>4385.8</v>
      </c>
      <c r="E176" s="6">
        <v>1983.68</v>
      </c>
      <c r="F176" s="6">
        <v>1667.48</v>
      </c>
      <c r="G176" s="6">
        <v>1913.23</v>
      </c>
      <c r="H176" s="7">
        <v>1546.76</v>
      </c>
      <c r="I176" s="6">
        <v>779.86</v>
      </c>
      <c r="J176" s="6">
        <v>3309.88</v>
      </c>
      <c r="K176" s="6">
        <v>1025.8599999999999</v>
      </c>
      <c r="L176" s="6">
        <v>356.54</v>
      </c>
      <c r="M176" s="6">
        <v>621.69000000000005</v>
      </c>
      <c r="N176" s="6">
        <v>126.46</v>
      </c>
      <c r="O176" s="6">
        <v>4568.8500000000004</v>
      </c>
      <c r="P176" s="6">
        <v>1207.4100000000001</v>
      </c>
    </row>
    <row r="177" spans="2:16" s="8" customFormat="1" ht="34.9" hidden="1" customHeight="1">
      <c r="B177" s="15">
        <v>42887</v>
      </c>
      <c r="C177" s="11">
        <v>2932.34</v>
      </c>
      <c r="D177" s="10">
        <v>4376.46</v>
      </c>
      <c r="E177" s="10">
        <v>1985.64</v>
      </c>
      <c r="F177" s="10">
        <v>1624.82</v>
      </c>
      <c r="G177" s="10">
        <v>1913.75</v>
      </c>
      <c r="H177" s="11">
        <v>1556.22</v>
      </c>
      <c r="I177" s="10">
        <v>776.24</v>
      </c>
      <c r="J177" s="10">
        <v>3363.11</v>
      </c>
      <c r="K177" s="10">
        <v>1010.83</v>
      </c>
      <c r="L177" s="10">
        <v>362.56</v>
      </c>
      <c r="M177" s="10">
        <v>602.51</v>
      </c>
      <c r="N177" s="10">
        <v>126.46</v>
      </c>
      <c r="O177" s="10">
        <v>4607.33</v>
      </c>
      <c r="P177" s="10">
        <v>1231.19</v>
      </c>
    </row>
    <row r="178" spans="2:16" s="8" customFormat="1" ht="34.9" hidden="1" customHeight="1">
      <c r="B178" s="14">
        <v>42917</v>
      </c>
      <c r="C178" s="7">
        <v>2920.64</v>
      </c>
      <c r="D178" s="6">
        <v>4368.03</v>
      </c>
      <c r="E178" s="6">
        <v>1968.4</v>
      </c>
      <c r="F178" s="6">
        <v>1612.58</v>
      </c>
      <c r="G178" s="6">
        <v>1871.61</v>
      </c>
      <c r="H178" s="7">
        <v>1514.77</v>
      </c>
      <c r="I178" s="6">
        <v>808.27</v>
      </c>
      <c r="J178" s="6">
        <v>3353.47</v>
      </c>
      <c r="K178" s="6">
        <v>996.13</v>
      </c>
      <c r="L178" s="6">
        <v>371.62</v>
      </c>
      <c r="M178" s="6">
        <v>603.66</v>
      </c>
      <c r="N178" s="6">
        <v>113.38</v>
      </c>
      <c r="O178" s="6">
        <v>4317.49</v>
      </c>
      <c r="P178" s="6">
        <v>1236.67</v>
      </c>
    </row>
    <row r="179" spans="2:16" s="8" customFormat="1" ht="34.9" hidden="1" customHeight="1">
      <c r="B179" s="15">
        <v>42948</v>
      </c>
      <c r="C179" s="11">
        <v>2925.36</v>
      </c>
      <c r="D179" s="10">
        <v>4390.07</v>
      </c>
      <c r="E179" s="10">
        <v>1977.47</v>
      </c>
      <c r="F179" s="10">
        <v>1580.05</v>
      </c>
      <c r="G179" s="10">
        <v>1835.02</v>
      </c>
      <c r="H179" s="11">
        <v>1525.58</v>
      </c>
      <c r="I179" s="10">
        <v>850.99</v>
      </c>
      <c r="J179" s="10">
        <v>3331.46</v>
      </c>
      <c r="K179" s="10">
        <v>984.54</v>
      </c>
      <c r="L179" s="10">
        <v>370.16</v>
      </c>
      <c r="M179" s="10">
        <v>607.80999999999995</v>
      </c>
      <c r="N179" s="10">
        <v>117.74</v>
      </c>
      <c r="O179" s="10">
        <v>4404.03</v>
      </c>
      <c r="P179" s="10">
        <v>1232.71</v>
      </c>
    </row>
    <row r="180" spans="2:16" s="8" customFormat="1" ht="34.9" hidden="1" customHeight="1">
      <c r="B180" s="14">
        <v>42979</v>
      </c>
      <c r="C180" s="7">
        <v>2877.51</v>
      </c>
      <c r="D180" s="6">
        <v>4322.68</v>
      </c>
      <c r="E180" s="6">
        <v>1961.03</v>
      </c>
      <c r="F180" s="6">
        <v>1536.56</v>
      </c>
      <c r="G180" s="6">
        <v>1794.09</v>
      </c>
      <c r="H180" s="7">
        <v>1502.59</v>
      </c>
      <c r="I180" s="6">
        <v>842.46</v>
      </c>
      <c r="J180" s="6">
        <v>3332.9</v>
      </c>
      <c r="K180" s="6">
        <v>983.64</v>
      </c>
      <c r="L180" s="6">
        <v>369.17</v>
      </c>
      <c r="M180" s="6">
        <v>626.79999999999995</v>
      </c>
      <c r="N180" s="6">
        <v>117.74</v>
      </c>
      <c r="O180" s="6">
        <v>4227.51</v>
      </c>
      <c r="P180" s="6">
        <v>1241.8699999999999</v>
      </c>
    </row>
    <row r="181" spans="2:16" s="8" customFormat="1" ht="34.9" hidden="1" customHeight="1">
      <c r="B181" s="15">
        <v>43009</v>
      </c>
      <c r="C181" s="11">
        <v>2839.33</v>
      </c>
      <c r="D181" s="10">
        <v>4267.1499999999996</v>
      </c>
      <c r="E181" s="10">
        <v>1927.87</v>
      </c>
      <c r="F181" s="10">
        <v>1526.77</v>
      </c>
      <c r="G181" s="10">
        <v>1753</v>
      </c>
      <c r="H181" s="11">
        <v>1468.37</v>
      </c>
      <c r="I181" s="10">
        <v>845.7</v>
      </c>
      <c r="J181" s="10">
        <v>3261.78</v>
      </c>
      <c r="K181" s="10">
        <v>954.54</v>
      </c>
      <c r="L181" s="10">
        <v>371.23</v>
      </c>
      <c r="M181" s="10">
        <v>601.46</v>
      </c>
      <c r="N181" s="10">
        <v>102.48</v>
      </c>
      <c r="O181" s="10">
        <v>4046.86</v>
      </c>
      <c r="P181" s="10">
        <v>1286.23</v>
      </c>
    </row>
    <row r="182" spans="2:16" s="8" customFormat="1" ht="34.9" hidden="1" customHeight="1">
      <c r="B182" s="14">
        <v>43040</v>
      </c>
      <c r="C182" s="7">
        <v>2871.83</v>
      </c>
      <c r="D182" s="6">
        <v>4335.88</v>
      </c>
      <c r="E182" s="6">
        <v>1953.75</v>
      </c>
      <c r="F182" s="6">
        <v>1512.56</v>
      </c>
      <c r="G182" s="6">
        <v>1704.72</v>
      </c>
      <c r="H182" s="7">
        <v>1465.56</v>
      </c>
      <c r="I182" s="6">
        <v>855.82</v>
      </c>
      <c r="J182" s="6">
        <v>3253.92</v>
      </c>
      <c r="K182" s="6">
        <v>960.71</v>
      </c>
      <c r="L182" s="6">
        <v>367.35</v>
      </c>
      <c r="M182" s="6">
        <v>633.65</v>
      </c>
      <c r="N182" s="6">
        <v>109.02</v>
      </c>
      <c r="O182" s="6">
        <v>3994.3</v>
      </c>
      <c r="P182" s="6">
        <v>1293.29</v>
      </c>
    </row>
    <row r="183" spans="2:16" s="8" customFormat="1" ht="34.9" hidden="1" customHeight="1">
      <c r="B183" s="15">
        <v>43070</v>
      </c>
      <c r="C183" s="11">
        <v>2881.48</v>
      </c>
      <c r="D183" s="10">
        <v>4367.97</v>
      </c>
      <c r="E183" s="10">
        <v>1953.09</v>
      </c>
      <c r="F183" s="10">
        <v>1470.49</v>
      </c>
      <c r="G183" s="10">
        <v>1676.78</v>
      </c>
      <c r="H183" s="11">
        <v>1449.68</v>
      </c>
      <c r="I183" s="10">
        <v>875.97</v>
      </c>
      <c r="J183" s="10">
        <v>3234.37</v>
      </c>
      <c r="K183" s="10">
        <v>984.99</v>
      </c>
      <c r="L183" s="10">
        <v>356.47</v>
      </c>
      <c r="M183" s="10">
        <v>621.22</v>
      </c>
      <c r="N183" s="10">
        <v>98.12</v>
      </c>
      <c r="O183" s="10">
        <v>3826.49</v>
      </c>
      <c r="P183" s="10">
        <v>1367.14</v>
      </c>
    </row>
    <row r="184" spans="2:16" s="8" customFormat="1" ht="34.9" hidden="1" customHeight="1">
      <c r="B184" s="3">
        <v>2018</v>
      </c>
      <c r="C184" s="13"/>
      <c r="D184" s="12"/>
      <c r="E184" s="12"/>
      <c r="F184" s="12"/>
      <c r="G184" s="12"/>
      <c r="H184" s="13"/>
      <c r="I184" s="12"/>
      <c r="J184" s="12"/>
      <c r="K184" s="12"/>
      <c r="L184" s="12"/>
      <c r="M184" s="12"/>
      <c r="N184" s="12"/>
      <c r="O184" s="12"/>
      <c r="P184" s="12"/>
    </row>
    <row r="185" spans="2:16" s="8" customFormat="1" ht="34.9" hidden="1" customHeight="1">
      <c r="B185" s="14">
        <v>43101</v>
      </c>
      <c r="C185" s="7">
        <v>2917.41</v>
      </c>
      <c r="D185" s="6">
        <v>4445.04</v>
      </c>
      <c r="E185" s="6">
        <v>1927.24</v>
      </c>
      <c r="F185" s="6">
        <v>1458.46</v>
      </c>
      <c r="G185" s="6">
        <v>1640.6</v>
      </c>
      <c r="H185" s="7">
        <v>1496.66</v>
      </c>
      <c r="I185" s="6">
        <v>833.04</v>
      </c>
      <c r="J185" s="6">
        <v>3171.7</v>
      </c>
      <c r="K185" s="6">
        <v>983.56</v>
      </c>
      <c r="L185" s="6">
        <v>374.65</v>
      </c>
      <c r="M185" s="6">
        <v>635.79</v>
      </c>
      <c r="N185" s="6">
        <v>95.94</v>
      </c>
      <c r="O185" s="6">
        <v>3973.81</v>
      </c>
      <c r="P185" s="6">
        <v>1542.15</v>
      </c>
    </row>
    <row r="186" spans="2:16" s="8" customFormat="1" ht="34.9" hidden="1" customHeight="1">
      <c r="B186" s="15">
        <v>43132</v>
      </c>
      <c r="C186" s="11">
        <v>3002.38</v>
      </c>
      <c r="D186" s="10">
        <v>4608.3999999999996</v>
      </c>
      <c r="E186" s="10">
        <v>1920.52</v>
      </c>
      <c r="F186" s="10">
        <v>1450.25</v>
      </c>
      <c r="G186" s="10">
        <v>1602.21</v>
      </c>
      <c r="H186" s="11">
        <v>1516.17</v>
      </c>
      <c r="I186" s="10">
        <v>839.26</v>
      </c>
      <c r="J186" s="10">
        <v>3257.73</v>
      </c>
      <c r="K186" s="10">
        <v>1052.6500000000001</v>
      </c>
      <c r="L186" s="10">
        <v>364.19</v>
      </c>
      <c r="M186" s="10">
        <v>648.87</v>
      </c>
      <c r="N186" s="10">
        <v>89.4</v>
      </c>
      <c r="O186" s="10">
        <v>3985.95</v>
      </c>
      <c r="P186" s="10">
        <v>1543.61</v>
      </c>
    </row>
    <row r="187" spans="2:16" s="8" customFormat="1" ht="34.9" hidden="1" customHeight="1">
      <c r="B187" s="14">
        <v>43160</v>
      </c>
      <c r="C187" s="7">
        <v>3022.49</v>
      </c>
      <c r="D187" s="6">
        <v>4625.82</v>
      </c>
      <c r="E187" s="6">
        <v>1929.15</v>
      </c>
      <c r="F187" s="6">
        <v>1484.1</v>
      </c>
      <c r="G187" s="6">
        <v>1657.62</v>
      </c>
      <c r="H187" s="7">
        <v>1504.73</v>
      </c>
      <c r="I187" s="6">
        <v>862.75</v>
      </c>
      <c r="J187" s="6">
        <v>3233.83</v>
      </c>
      <c r="K187" s="6">
        <v>1051.24</v>
      </c>
      <c r="L187" s="6">
        <v>358.53</v>
      </c>
      <c r="M187" s="6">
        <v>645.52</v>
      </c>
      <c r="N187" s="6">
        <v>82.86</v>
      </c>
      <c r="O187" s="6">
        <v>3915.13</v>
      </c>
      <c r="P187" s="6">
        <v>1560.44</v>
      </c>
    </row>
    <row r="188" spans="2:16" s="8" customFormat="1" ht="34.9" hidden="1" customHeight="1">
      <c r="B188" s="15">
        <v>43191</v>
      </c>
      <c r="C188" s="11">
        <v>3006.9</v>
      </c>
      <c r="D188" s="10">
        <v>4630.2</v>
      </c>
      <c r="E188" s="10">
        <v>1880.2</v>
      </c>
      <c r="F188" s="10">
        <v>1418.8</v>
      </c>
      <c r="G188" s="10">
        <v>1597.7</v>
      </c>
      <c r="H188" s="11">
        <v>1478</v>
      </c>
      <c r="I188" s="10">
        <v>878.2</v>
      </c>
      <c r="J188" s="10">
        <v>3142.1</v>
      </c>
      <c r="K188" s="10">
        <v>1031</v>
      </c>
      <c r="L188" s="10">
        <v>358.1</v>
      </c>
      <c r="M188" s="10">
        <v>610.4</v>
      </c>
      <c r="N188" s="10">
        <v>82.9</v>
      </c>
      <c r="O188" s="10">
        <v>3895.3</v>
      </c>
      <c r="P188" s="10">
        <v>1506.4</v>
      </c>
    </row>
    <row r="189" spans="2:16" s="8" customFormat="1" ht="34.9" hidden="1" customHeight="1">
      <c r="B189" s="14">
        <v>43221</v>
      </c>
      <c r="C189" s="7">
        <v>2829</v>
      </c>
      <c r="D189" s="6">
        <v>4318.6000000000004</v>
      </c>
      <c r="E189" s="6">
        <v>1924.7</v>
      </c>
      <c r="F189" s="6">
        <v>1398.2</v>
      </c>
      <c r="G189" s="6">
        <v>1535.7</v>
      </c>
      <c r="H189" s="7">
        <v>1425.5</v>
      </c>
      <c r="I189" s="6">
        <v>899.6</v>
      </c>
      <c r="J189" s="6">
        <v>3100.5</v>
      </c>
      <c r="K189" s="6">
        <v>1003.2</v>
      </c>
      <c r="L189" s="6">
        <v>342.6</v>
      </c>
      <c r="M189" s="6">
        <v>571.1</v>
      </c>
      <c r="N189" s="6">
        <v>82.9</v>
      </c>
      <c r="O189" s="6">
        <v>3691.6</v>
      </c>
      <c r="P189" s="6">
        <v>1468.1</v>
      </c>
    </row>
    <row r="190" spans="2:16" s="8" customFormat="1" ht="34.9" hidden="1" customHeight="1">
      <c r="B190" s="15">
        <v>43252</v>
      </c>
      <c r="C190" s="11">
        <v>2827.84</v>
      </c>
      <c r="D190" s="10">
        <v>4294.2700000000004</v>
      </c>
      <c r="E190" s="10">
        <v>2228.3000000000002</v>
      </c>
      <c r="F190" s="10">
        <v>1385.73</v>
      </c>
      <c r="G190" s="10">
        <v>1507.88</v>
      </c>
      <c r="H190" s="11">
        <v>1394.49</v>
      </c>
      <c r="I190" s="10">
        <v>936.26</v>
      </c>
      <c r="J190" s="10">
        <v>2962.24</v>
      </c>
      <c r="K190" s="10">
        <v>1064.8599999999999</v>
      </c>
      <c r="L190" s="10">
        <v>341.94</v>
      </c>
      <c r="M190" s="10">
        <v>529.97</v>
      </c>
      <c r="N190" s="10">
        <v>82.9</v>
      </c>
      <c r="O190" s="10">
        <v>3575.69</v>
      </c>
      <c r="P190" s="10">
        <v>1422.4</v>
      </c>
    </row>
    <row r="191" spans="2:16" s="8" customFormat="1" ht="34.9" hidden="1" customHeight="1">
      <c r="B191" s="14">
        <v>43282</v>
      </c>
      <c r="C191" s="7">
        <v>2764.2734388892027</v>
      </c>
      <c r="D191" s="6">
        <v>4206.0117140013162</v>
      </c>
      <c r="E191" s="6">
        <v>2221.963507941613</v>
      </c>
      <c r="F191" s="6">
        <v>1337.8651907353833</v>
      </c>
      <c r="G191" s="6">
        <v>1435.1793987793797</v>
      </c>
      <c r="H191" s="7">
        <v>1346.7022791136035</v>
      </c>
      <c r="I191" s="6">
        <v>892.31769533482475</v>
      </c>
      <c r="J191" s="6">
        <v>2966.0933267932096</v>
      </c>
      <c r="K191" s="6">
        <v>1063.3224760988965</v>
      </c>
      <c r="L191" s="6">
        <v>318.96681277153681</v>
      </c>
      <c r="M191" s="6">
        <v>514.96851607984479</v>
      </c>
      <c r="N191" s="6">
        <v>82.85610982418298</v>
      </c>
      <c r="O191" s="6">
        <v>3356.9096874807287</v>
      </c>
      <c r="P191" s="6">
        <v>1387.3071056785316</v>
      </c>
    </row>
    <row r="192" spans="2:16" s="8" customFormat="1" ht="34.9" hidden="1" customHeight="1">
      <c r="B192" s="15">
        <v>43313</v>
      </c>
      <c r="C192" s="11">
        <v>2748.7</v>
      </c>
      <c r="D192" s="10">
        <v>4179.38</v>
      </c>
      <c r="E192" s="10">
        <v>2221.48</v>
      </c>
      <c r="F192" s="10">
        <v>1355.52</v>
      </c>
      <c r="G192" s="10">
        <v>1409.38</v>
      </c>
      <c r="H192" s="11">
        <v>1340.67</v>
      </c>
      <c r="I192" s="10">
        <v>877.67</v>
      </c>
      <c r="J192" s="10">
        <v>2941.41</v>
      </c>
      <c r="K192" s="10">
        <v>1071.31</v>
      </c>
      <c r="L192" s="10">
        <v>313.91000000000003</v>
      </c>
      <c r="M192" s="10">
        <v>510.59</v>
      </c>
      <c r="N192" s="10">
        <v>82.85610982418298</v>
      </c>
      <c r="O192" s="10">
        <v>3351.68</v>
      </c>
      <c r="P192" s="10">
        <v>1377.96</v>
      </c>
    </row>
    <row r="193" spans="2:16" s="8" customFormat="1" ht="34.9" hidden="1" customHeight="1">
      <c r="B193" s="14">
        <v>43344</v>
      </c>
      <c r="C193" s="7">
        <v>2707.9</v>
      </c>
      <c r="D193" s="6">
        <v>4112.96</v>
      </c>
      <c r="E193" s="6">
        <v>2219.29</v>
      </c>
      <c r="F193" s="6">
        <v>1364.63</v>
      </c>
      <c r="G193" s="6">
        <v>1364.91</v>
      </c>
      <c r="H193" s="7">
        <v>1351.15</v>
      </c>
      <c r="I193" s="6">
        <v>857.05</v>
      </c>
      <c r="J193" s="6">
        <v>2918.98</v>
      </c>
      <c r="K193" s="6">
        <v>1147.6400000000001</v>
      </c>
      <c r="L193" s="6">
        <v>311.02999999999997</v>
      </c>
      <c r="M193" s="6">
        <v>499.5</v>
      </c>
      <c r="N193" s="6">
        <v>65.41</v>
      </c>
      <c r="O193" s="6">
        <v>3358.24</v>
      </c>
      <c r="P193" s="6">
        <v>1403.1</v>
      </c>
    </row>
    <row r="194" spans="2:16" s="8" customFormat="1" ht="34.9" hidden="1" customHeight="1">
      <c r="B194" s="15">
        <v>43374</v>
      </c>
      <c r="C194" s="11">
        <v>2655.01</v>
      </c>
      <c r="D194" s="10">
        <v>3991.92</v>
      </c>
      <c r="E194" s="10">
        <v>2232.4299999999998</v>
      </c>
      <c r="F194" s="10">
        <v>1369.6</v>
      </c>
      <c r="G194" s="10">
        <v>1469.08</v>
      </c>
      <c r="H194" s="11">
        <v>1339.45</v>
      </c>
      <c r="I194" s="10">
        <v>869.39</v>
      </c>
      <c r="J194" s="10">
        <v>2879.86</v>
      </c>
      <c r="K194" s="10">
        <v>1110.1300000000001</v>
      </c>
      <c r="L194" s="10">
        <v>319.99</v>
      </c>
      <c r="M194" s="10">
        <v>498.94</v>
      </c>
      <c r="N194" s="10">
        <v>63.23</v>
      </c>
      <c r="O194" s="10">
        <v>3320.7</v>
      </c>
      <c r="P194" s="10">
        <v>1413.05</v>
      </c>
    </row>
    <row r="195" spans="2:16" s="8" customFormat="1" ht="34.9" hidden="1" customHeight="1">
      <c r="B195" s="14">
        <v>43405</v>
      </c>
      <c r="C195" s="7">
        <v>2566.96</v>
      </c>
      <c r="D195" s="6">
        <v>3884.48</v>
      </c>
      <c r="E195" s="6">
        <v>2149.5700000000002</v>
      </c>
      <c r="F195" s="6">
        <v>1255.04</v>
      </c>
      <c r="G195" s="6">
        <v>1378.62</v>
      </c>
      <c r="H195" s="7">
        <v>1293.05</v>
      </c>
      <c r="I195" s="6">
        <v>907.81</v>
      </c>
      <c r="J195" s="6">
        <v>2840.9</v>
      </c>
      <c r="K195" s="6">
        <v>1111.96</v>
      </c>
      <c r="L195" s="6">
        <v>291.27</v>
      </c>
      <c r="M195" s="6">
        <v>418.06</v>
      </c>
      <c r="N195" s="6">
        <v>56.69</v>
      </c>
      <c r="O195" s="6">
        <v>3202.36</v>
      </c>
      <c r="P195" s="6">
        <v>1340.74</v>
      </c>
    </row>
    <row r="196" spans="2:16" s="8" customFormat="1" ht="34.9" hidden="1" customHeight="1">
      <c r="B196" s="15">
        <v>43435</v>
      </c>
      <c r="C196" s="11">
        <v>2652.69</v>
      </c>
      <c r="D196" s="10">
        <v>4047.83</v>
      </c>
      <c r="E196" s="10">
        <v>2158.84</v>
      </c>
      <c r="F196" s="10">
        <v>1273.3</v>
      </c>
      <c r="G196" s="10">
        <v>1318.13</v>
      </c>
      <c r="H196" s="11">
        <v>1279.8</v>
      </c>
      <c r="I196" s="10">
        <v>858.77</v>
      </c>
      <c r="J196" s="10">
        <v>2851.68</v>
      </c>
      <c r="K196" s="10">
        <v>1110.3399999999999</v>
      </c>
      <c r="L196" s="10">
        <v>292.02999999999997</v>
      </c>
      <c r="M196" s="10">
        <v>426.35</v>
      </c>
      <c r="N196" s="10">
        <v>61.05</v>
      </c>
      <c r="O196" s="10">
        <v>3131.94</v>
      </c>
      <c r="P196" s="10">
        <v>1320.78</v>
      </c>
    </row>
    <row r="197" spans="2:16" s="8" customFormat="1" ht="34.9" hidden="1" customHeight="1">
      <c r="B197" s="3">
        <v>2019</v>
      </c>
      <c r="C197" s="13"/>
      <c r="D197" s="12"/>
      <c r="E197" s="12"/>
      <c r="F197" s="12"/>
      <c r="G197" s="12"/>
      <c r="H197" s="13"/>
      <c r="I197" s="12"/>
      <c r="J197" s="12"/>
      <c r="K197" s="12"/>
      <c r="L197" s="12"/>
      <c r="M197" s="12"/>
      <c r="N197" s="12"/>
      <c r="O197" s="12"/>
      <c r="P197" s="12"/>
    </row>
    <row r="198" spans="2:16" s="8" customFormat="1" ht="34.9" hidden="1" customHeight="1">
      <c r="B198" s="14">
        <v>43466</v>
      </c>
      <c r="C198" s="7">
        <v>2683.41</v>
      </c>
      <c r="D198" s="6">
        <v>4073.05</v>
      </c>
      <c r="E198" s="6">
        <v>2099.2399999999998</v>
      </c>
      <c r="F198" s="6">
        <v>1337.98</v>
      </c>
      <c r="G198" s="6">
        <v>1406.57</v>
      </c>
      <c r="H198" s="7">
        <v>1317.88</v>
      </c>
      <c r="I198" s="6">
        <v>815.03</v>
      </c>
      <c r="J198" s="6">
        <v>2843.17</v>
      </c>
      <c r="K198" s="6">
        <v>1089.45</v>
      </c>
      <c r="L198" s="6">
        <v>297.89999999999998</v>
      </c>
      <c r="M198" s="6">
        <v>456.2</v>
      </c>
      <c r="N198" s="6">
        <v>61.05</v>
      </c>
      <c r="O198" s="6">
        <v>3351.88</v>
      </c>
      <c r="P198" s="6">
        <v>1383.39</v>
      </c>
    </row>
    <row r="199" spans="2:16" s="8" customFormat="1" ht="34.9" hidden="1" customHeight="1">
      <c r="B199" s="15">
        <v>43497</v>
      </c>
      <c r="C199" s="11">
        <v>2745.26</v>
      </c>
      <c r="D199" s="10">
        <v>4180.67</v>
      </c>
      <c r="E199" s="10">
        <v>2168.42</v>
      </c>
      <c r="F199" s="10">
        <v>1325.23</v>
      </c>
      <c r="G199" s="10">
        <v>1413.41</v>
      </c>
      <c r="H199" s="11">
        <v>1330.32</v>
      </c>
      <c r="I199" s="10">
        <v>764.15</v>
      </c>
      <c r="J199" s="10">
        <v>2770.56</v>
      </c>
      <c r="K199" s="10">
        <v>1100.46</v>
      </c>
      <c r="L199" s="10">
        <v>293.08999999999997</v>
      </c>
      <c r="M199" s="10">
        <v>474.49</v>
      </c>
      <c r="N199" s="10">
        <v>52.33</v>
      </c>
      <c r="O199" s="10">
        <v>3486.81</v>
      </c>
      <c r="P199" s="10">
        <v>1381.52</v>
      </c>
    </row>
    <row r="200" spans="2:16" s="8" customFormat="1" ht="34.9" hidden="1" customHeight="1">
      <c r="B200" s="14">
        <v>43525</v>
      </c>
      <c r="C200" s="7">
        <v>2660.71</v>
      </c>
      <c r="D200" s="6">
        <v>4032.43</v>
      </c>
      <c r="E200" s="6">
        <v>2144.27</v>
      </c>
      <c r="F200" s="6">
        <v>1305.8599999999999</v>
      </c>
      <c r="G200" s="6">
        <v>1422.5</v>
      </c>
      <c r="H200" s="7">
        <v>1288.68</v>
      </c>
      <c r="I200" s="6">
        <v>754.06</v>
      </c>
      <c r="J200" s="6">
        <v>2669.77</v>
      </c>
      <c r="K200" s="6">
        <v>1058.82</v>
      </c>
      <c r="L200" s="6">
        <v>290.20999999999998</v>
      </c>
      <c r="M200" s="6">
        <v>455.8</v>
      </c>
      <c r="N200" s="6">
        <v>50.15</v>
      </c>
      <c r="O200" s="6">
        <v>3454.38</v>
      </c>
      <c r="P200" s="6">
        <v>1259.77</v>
      </c>
    </row>
    <row r="201" spans="2:16" s="8" customFormat="1" ht="34.9" hidden="1" customHeight="1">
      <c r="B201" s="15">
        <v>43556</v>
      </c>
      <c r="C201" s="11">
        <v>2533.9899999999998</v>
      </c>
      <c r="D201" s="10">
        <v>3828.44</v>
      </c>
      <c r="E201" s="10">
        <v>2082.38</v>
      </c>
      <c r="F201" s="10">
        <v>1276.18</v>
      </c>
      <c r="G201" s="10">
        <v>1364.15</v>
      </c>
      <c r="H201" s="11">
        <v>1200</v>
      </c>
      <c r="I201" s="10">
        <v>751.17</v>
      </c>
      <c r="J201" s="10">
        <v>2536.25</v>
      </c>
      <c r="K201" s="10">
        <v>1020.75</v>
      </c>
      <c r="L201" s="10">
        <v>276.81</v>
      </c>
      <c r="M201" s="10">
        <v>415.6</v>
      </c>
      <c r="N201" s="10">
        <v>47.97</v>
      </c>
      <c r="O201" s="10">
        <v>3168.15</v>
      </c>
      <c r="P201" s="10">
        <v>1112.3599999999999</v>
      </c>
    </row>
    <row r="202" spans="2:16" s="8" customFormat="1" ht="34.9" hidden="1" customHeight="1">
      <c r="B202" s="14">
        <v>43586</v>
      </c>
      <c r="C202" s="7">
        <v>2501.69</v>
      </c>
      <c r="D202" s="6">
        <v>3766.07</v>
      </c>
      <c r="E202" s="6">
        <v>2074.58</v>
      </c>
      <c r="F202" s="6">
        <v>1261.45</v>
      </c>
      <c r="G202" s="6">
        <v>1398.55</v>
      </c>
      <c r="H202" s="7">
        <v>1231.24</v>
      </c>
      <c r="I202" s="6">
        <v>735.35</v>
      </c>
      <c r="J202" s="6">
        <v>2470.09</v>
      </c>
      <c r="K202" s="6">
        <v>1004.63</v>
      </c>
      <c r="L202" s="6">
        <v>288.11</v>
      </c>
      <c r="M202" s="6">
        <v>423.61</v>
      </c>
      <c r="N202" s="6">
        <v>45.79</v>
      </c>
      <c r="O202" s="6">
        <v>3423.63</v>
      </c>
      <c r="P202" s="6">
        <v>1122.07</v>
      </c>
    </row>
    <row r="203" spans="2:16" s="8" customFormat="1" ht="34.9" hidden="1" customHeight="1">
      <c r="B203" s="15">
        <v>43617</v>
      </c>
      <c r="C203" s="11">
        <v>2575.96</v>
      </c>
      <c r="D203" s="10">
        <v>3873.73</v>
      </c>
      <c r="E203" s="10">
        <v>2071.88</v>
      </c>
      <c r="F203" s="10">
        <v>1301.04</v>
      </c>
      <c r="G203" s="10">
        <v>1479.33</v>
      </c>
      <c r="H203" s="11">
        <v>1309.43</v>
      </c>
      <c r="I203" s="10">
        <v>721.47</v>
      </c>
      <c r="J203" s="10">
        <v>2485.71</v>
      </c>
      <c r="K203" s="10">
        <v>984.63</v>
      </c>
      <c r="L203" s="10">
        <v>300.08999999999997</v>
      </c>
      <c r="M203" s="10">
        <v>438.76</v>
      </c>
      <c r="N203" s="10">
        <v>69.77</v>
      </c>
      <c r="O203" s="10">
        <v>3935.52</v>
      </c>
      <c r="P203" s="10">
        <v>1113.67</v>
      </c>
    </row>
    <row r="204" spans="2:16" s="8" customFormat="1" ht="34.9" hidden="1" customHeight="1">
      <c r="B204" s="14">
        <v>43647</v>
      </c>
      <c r="C204" s="7">
        <v>2536.17</v>
      </c>
      <c r="D204" s="6">
        <v>3791.67</v>
      </c>
      <c r="E204" s="6">
        <v>2071.13</v>
      </c>
      <c r="F204" s="6">
        <v>1280.77</v>
      </c>
      <c r="G204" s="6">
        <v>1551.34</v>
      </c>
      <c r="H204" s="7">
        <v>1331.97</v>
      </c>
      <c r="I204" s="6">
        <v>713.03</v>
      </c>
      <c r="J204" s="6">
        <v>2453.79</v>
      </c>
      <c r="K204" s="6">
        <v>982.18</v>
      </c>
      <c r="L204" s="6">
        <v>307.61</v>
      </c>
      <c r="M204" s="6">
        <v>457.87</v>
      </c>
      <c r="N204" s="6">
        <v>69.77</v>
      </c>
      <c r="O204" s="6">
        <v>4072.2</v>
      </c>
      <c r="P204" s="6">
        <v>1124.18</v>
      </c>
    </row>
    <row r="205" spans="2:16" s="8" customFormat="1" ht="34.9" hidden="1" customHeight="1">
      <c r="B205" s="15">
        <v>43678</v>
      </c>
      <c r="C205" s="11">
        <v>2473.38</v>
      </c>
      <c r="D205" s="10">
        <v>3676.88</v>
      </c>
      <c r="E205" s="10">
        <v>2080</v>
      </c>
      <c r="F205" s="10">
        <v>1286.73</v>
      </c>
      <c r="G205" s="10">
        <v>1553.23</v>
      </c>
      <c r="H205" s="11">
        <v>1306.78</v>
      </c>
      <c r="I205" s="10">
        <v>802.91</v>
      </c>
      <c r="J205" s="10">
        <v>2321.4699999999998</v>
      </c>
      <c r="K205" s="10">
        <v>973.54</v>
      </c>
      <c r="L205" s="10">
        <v>299.45999999999998</v>
      </c>
      <c r="M205" s="10">
        <v>451.44</v>
      </c>
      <c r="N205" s="10">
        <v>61.05</v>
      </c>
      <c r="O205" s="10">
        <v>4002.17</v>
      </c>
      <c r="P205" s="10">
        <v>1102.51</v>
      </c>
    </row>
    <row r="206" spans="2:16" s="8" customFormat="1" ht="34.9" hidden="1" customHeight="1">
      <c r="B206" s="14">
        <v>43709</v>
      </c>
      <c r="C206" s="7">
        <v>2482.77</v>
      </c>
      <c r="D206" s="6">
        <v>3684.72</v>
      </c>
      <c r="E206" s="6">
        <v>2040.18</v>
      </c>
      <c r="F206" s="6">
        <v>1359.48</v>
      </c>
      <c r="G206" s="6">
        <v>1537.78</v>
      </c>
      <c r="H206" s="7">
        <v>1300.02</v>
      </c>
      <c r="I206" s="6">
        <v>817.08</v>
      </c>
      <c r="J206" s="6">
        <v>2295.56</v>
      </c>
      <c r="K206" s="6">
        <v>971.37</v>
      </c>
      <c r="L206" s="6">
        <v>289.83</v>
      </c>
      <c r="M206" s="6">
        <v>443.55</v>
      </c>
      <c r="N206" s="6">
        <v>61.05</v>
      </c>
      <c r="O206" s="6">
        <v>3999.78</v>
      </c>
      <c r="P206" s="6">
        <v>1095.1500000000001</v>
      </c>
    </row>
    <row r="207" spans="2:16" s="8" customFormat="1" ht="34.9" hidden="1" customHeight="1">
      <c r="B207" s="15">
        <v>43739</v>
      </c>
      <c r="C207" s="11">
        <v>2422.92</v>
      </c>
      <c r="D207" s="10">
        <v>3591.87</v>
      </c>
      <c r="E207" s="10">
        <v>2036.93</v>
      </c>
      <c r="F207" s="10">
        <v>1337.02</v>
      </c>
      <c r="G207" s="10">
        <v>1494.81</v>
      </c>
      <c r="H207" s="11">
        <v>1300.95</v>
      </c>
      <c r="I207" s="10">
        <v>871.92</v>
      </c>
      <c r="J207" s="10">
        <v>2267.6</v>
      </c>
      <c r="K207" s="10">
        <v>949.61</v>
      </c>
      <c r="L207" s="10">
        <v>283.73</v>
      </c>
      <c r="M207" s="10">
        <v>439.23</v>
      </c>
      <c r="N207" s="10">
        <v>54.51</v>
      </c>
      <c r="O207" s="10">
        <v>4067.81</v>
      </c>
      <c r="P207" s="10">
        <v>1054.6500000000001</v>
      </c>
    </row>
    <row r="208" spans="2:16" s="8" customFormat="1" ht="34.9" hidden="1" customHeight="1">
      <c r="B208" s="14">
        <v>43770</v>
      </c>
      <c r="C208" s="7">
        <v>2422.19</v>
      </c>
      <c r="D208" s="6">
        <v>3590.21</v>
      </c>
      <c r="E208" s="6">
        <v>2049.66</v>
      </c>
      <c r="F208" s="6">
        <v>1390</v>
      </c>
      <c r="G208" s="6">
        <v>1443.5</v>
      </c>
      <c r="H208" s="7">
        <v>1283.96</v>
      </c>
      <c r="I208" s="6">
        <v>900</v>
      </c>
      <c r="J208" s="6">
        <v>2204.39</v>
      </c>
      <c r="K208" s="6">
        <v>936.22</v>
      </c>
      <c r="L208" s="6">
        <v>283.60000000000002</v>
      </c>
      <c r="M208" s="6">
        <v>427.46</v>
      </c>
      <c r="N208" s="6">
        <v>54.51</v>
      </c>
      <c r="O208" s="6">
        <v>4011.25</v>
      </c>
      <c r="P208" s="6">
        <v>1055.55</v>
      </c>
    </row>
    <row r="209" spans="2:16" s="8" customFormat="1" ht="34.9" hidden="1" customHeight="1">
      <c r="B209" s="15">
        <v>43800</v>
      </c>
      <c r="C209" s="11">
        <v>2449.96</v>
      </c>
      <c r="D209" s="10">
        <v>3648.25</v>
      </c>
      <c r="E209" s="10">
        <v>1997.35</v>
      </c>
      <c r="F209" s="10">
        <v>1342.8</v>
      </c>
      <c r="G209" s="10">
        <v>1464.22</v>
      </c>
      <c r="H209" s="11">
        <v>1293.04</v>
      </c>
      <c r="I209" s="10">
        <v>912.62</v>
      </c>
      <c r="J209" s="10">
        <v>2165.39</v>
      </c>
      <c r="K209" s="10">
        <v>981.06</v>
      </c>
      <c r="L209" s="10">
        <v>286.32</v>
      </c>
      <c r="M209" s="10">
        <v>433.21</v>
      </c>
      <c r="N209" s="10">
        <v>52.33</v>
      </c>
      <c r="O209" s="10">
        <v>3995.16</v>
      </c>
      <c r="P209" s="10">
        <v>1116.51</v>
      </c>
    </row>
    <row r="210" spans="2:16" s="8" customFormat="1" ht="34.9" hidden="1" customHeight="1">
      <c r="B210" s="3">
        <v>2020</v>
      </c>
      <c r="C210" s="13"/>
      <c r="D210" s="12"/>
      <c r="E210" s="12"/>
      <c r="F210" s="12"/>
      <c r="G210" s="12"/>
      <c r="H210" s="13"/>
      <c r="I210" s="12"/>
      <c r="J210" s="12"/>
      <c r="K210" s="12"/>
      <c r="L210" s="12"/>
      <c r="M210" s="12"/>
      <c r="N210" s="12"/>
      <c r="O210" s="12"/>
      <c r="P210" s="12"/>
    </row>
    <row r="211" spans="2:16" s="8" customFormat="1" ht="34.9" hidden="1" customHeight="1">
      <c r="B211" s="14">
        <v>43831</v>
      </c>
      <c r="C211" s="7">
        <v>2517.3268466505474</v>
      </c>
      <c r="D211" s="6">
        <v>3755.6321414426425</v>
      </c>
      <c r="E211" s="6">
        <v>2073.5048794715599</v>
      </c>
      <c r="F211" s="6">
        <v>1351.1496437450428</v>
      </c>
      <c r="G211" s="6">
        <v>1489.3806963899785</v>
      </c>
      <c r="H211" s="7">
        <v>1328.1256858126978</v>
      </c>
      <c r="I211" s="6">
        <v>900.67902576566439</v>
      </c>
      <c r="J211" s="6">
        <v>2258.2853018204105</v>
      </c>
      <c r="K211" s="6">
        <v>957.56600793680229</v>
      </c>
      <c r="L211" s="6">
        <v>293.96653727551012</v>
      </c>
      <c r="M211" s="6">
        <v>451.23295538373418</v>
      </c>
      <c r="N211" s="6">
        <v>63.232294339508073</v>
      </c>
      <c r="O211" s="6">
        <v>4159.8377306115062</v>
      </c>
      <c r="P211" s="6">
        <v>1123.3608222001415</v>
      </c>
    </row>
    <row r="212" spans="2:16" s="8" customFormat="1" ht="34.9" hidden="1" customHeight="1">
      <c r="B212" s="15">
        <v>43862</v>
      </c>
      <c r="C212" s="11">
        <v>2453.8642975491816</v>
      </c>
      <c r="D212" s="10">
        <v>3654.8079039895824</v>
      </c>
      <c r="E212" s="10">
        <v>2059.5002289021386</v>
      </c>
      <c r="F212" s="10">
        <v>1339.9845952470687</v>
      </c>
      <c r="G212" s="10">
        <v>1448.404333355408</v>
      </c>
      <c r="H212" s="11">
        <v>1323.7488307629144</v>
      </c>
      <c r="I212" s="10">
        <v>886.69206779932517</v>
      </c>
      <c r="J212" s="10">
        <v>2232.4838768418354</v>
      </c>
      <c r="K212" s="10">
        <v>917.68458967108552</v>
      </c>
      <c r="L212" s="10">
        <v>291.73789174326214</v>
      </c>
      <c r="M212" s="10">
        <v>448.65793433357823</v>
      </c>
      <c r="N212" s="10">
        <v>54.51059856854144</v>
      </c>
      <c r="O212" s="10">
        <v>4176.9040975700036</v>
      </c>
      <c r="P212" s="10">
        <v>1160.0357013742741</v>
      </c>
    </row>
    <row r="213" spans="2:16" s="8" customFormat="1" ht="34.9" hidden="1" customHeight="1">
      <c r="B213" s="14" t="s">
        <v>129</v>
      </c>
      <c r="C213" s="7">
        <v>2196.0859936307934</v>
      </c>
      <c r="D213" s="6">
        <v>3239.8010719767626</v>
      </c>
      <c r="E213" s="6">
        <v>2014.2224987556801</v>
      </c>
      <c r="F213" s="6">
        <v>1262.2680126930927</v>
      </c>
      <c r="G213" s="6">
        <v>1332.2420145703995</v>
      </c>
      <c r="H213" s="7">
        <v>1214.4722807584817</v>
      </c>
      <c r="I213" s="6">
        <v>856.54189538633307</v>
      </c>
      <c r="J213" s="6">
        <v>2239.6634037923955</v>
      </c>
      <c r="K213" s="6">
        <v>854.89379303664987</v>
      </c>
      <c r="L213" s="6">
        <v>258.26932254866381</v>
      </c>
      <c r="M213" s="6">
        <v>412.98530938541734</v>
      </c>
      <c r="N213" s="6">
        <v>54.51059856854144</v>
      </c>
      <c r="O213" s="6">
        <v>3633.1654884161921</v>
      </c>
      <c r="P213" s="6">
        <v>1164.9856985586891</v>
      </c>
    </row>
    <row r="214" spans="2:16" s="8" customFormat="1" ht="34.9" hidden="1" customHeight="1">
      <c r="B214" s="15">
        <v>43952</v>
      </c>
      <c r="C214" s="11">
        <v>2160.3200000000002</v>
      </c>
      <c r="D214" s="10">
        <v>3179.11</v>
      </c>
      <c r="E214" s="10">
        <v>2035.63</v>
      </c>
      <c r="F214" s="10">
        <v>1245.55</v>
      </c>
      <c r="G214" s="10">
        <v>1329.78</v>
      </c>
      <c r="H214" s="11">
        <v>1202.1300000000001</v>
      </c>
      <c r="I214" s="10">
        <v>835.01</v>
      </c>
      <c r="J214" s="10">
        <v>2210.37</v>
      </c>
      <c r="K214" s="10">
        <v>792.85</v>
      </c>
      <c r="L214" s="10">
        <v>240.21</v>
      </c>
      <c r="M214" s="10">
        <v>418.14</v>
      </c>
      <c r="N214" s="10">
        <v>52.33</v>
      </c>
      <c r="O214" s="10">
        <v>3701.71</v>
      </c>
      <c r="P214" s="10">
        <v>1120.2</v>
      </c>
    </row>
    <row r="215" spans="2:16" s="8" customFormat="1" ht="34.9" hidden="1" customHeight="1">
      <c r="B215" s="14">
        <v>43983</v>
      </c>
      <c r="C215" s="7">
        <v>2116.21</v>
      </c>
      <c r="D215" s="6">
        <v>3100.28</v>
      </c>
      <c r="E215" s="6">
        <v>2037.11</v>
      </c>
      <c r="F215" s="6">
        <v>1237.6199999999999</v>
      </c>
      <c r="G215" s="6">
        <v>1334.74</v>
      </c>
      <c r="H215" s="7">
        <v>1166.23</v>
      </c>
      <c r="I215" s="6">
        <v>825.55</v>
      </c>
      <c r="J215" s="6">
        <v>2097.0700000000002</v>
      </c>
      <c r="K215" s="6">
        <v>767.42</v>
      </c>
      <c r="L215" s="6">
        <v>246.09</v>
      </c>
      <c r="M215" s="6">
        <v>407.27</v>
      </c>
      <c r="N215" s="6">
        <v>47.97</v>
      </c>
      <c r="O215" s="6">
        <v>3627.09</v>
      </c>
      <c r="P215" s="6">
        <v>1034.1199999999999</v>
      </c>
    </row>
    <row r="216" spans="2:16" s="8" customFormat="1" ht="34.9" hidden="1" customHeight="1">
      <c r="B216" s="15">
        <v>44013</v>
      </c>
      <c r="C216" s="11">
        <v>2103.9495894686138</v>
      </c>
      <c r="D216" s="10">
        <v>3045.4600806549515</v>
      </c>
      <c r="E216" s="10">
        <v>2037.0176787033597</v>
      </c>
      <c r="F216" s="10">
        <v>1332.1468893467691</v>
      </c>
      <c r="G216" s="10">
        <v>1411.6932789286354</v>
      </c>
      <c r="H216" s="11">
        <v>1122.6539541645607</v>
      </c>
      <c r="I216" s="10">
        <v>802.21573472295393</v>
      </c>
      <c r="J216" s="10">
        <v>1981.8685284412466</v>
      </c>
      <c r="K216" s="10">
        <v>781.68824166737181</v>
      </c>
      <c r="L216" s="10">
        <v>240.5750602026888</v>
      </c>
      <c r="M216" s="10">
        <v>397.033912320051</v>
      </c>
      <c r="N216" s="10">
        <v>52.330174625799785</v>
      </c>
      <c r="O216" s="10">
        <v>3404.724199182765</v>
      </c>
      <c r="P216" s="10">
        <v>1066.6033699124564</v>
      </c>
    </row>
    <row r="217" spans="2:16" s="8" customFormat="1" ht="34.9" hidden="1" customHeight="1">
      <c r="B217" s="14">
        <v>44044</v>
      </c>
      <c r="C217" s="7">
        <v>2090.8670767509234</v>
      </c>
      <c r="D217" s="6">
        <v>3039.8734922233398</v>
      </c>
      <c r="E217" s="6">
        <v>2008.8210928143633</v>
      </c>
      <c r="F217" s="6">
        <v>1298.1145901560076</v>
      </c>
      <c r="G217" s="6">
        <v>1367.6166254035572</v>
      </c>
      <c r="H217" s="7">
        <v>1115.2232243366389</v>
      </c>
      <c r="I217" s="6">
        <v>781.35983490236254</v>
      </c>
      <c r="J217" s="6">
        <v>2015.8964947173381</v>
      </c>
      <c r="K217" s="6">
        <v>753.90909021740026</v>
      </c>
      <c r="L217" s="6">
        <v>241.0798569390758</v>
      </c>
      <c r="M217" s="6">
        <v>396.77984357643561</v>
      </c>
      <c r="N217" s="6">
        <v>50.14975068305813</v>
      </c>
      <c r="O217" s="6">
        <v>3353.8914964099745</v>
      </c>
      <c r="P217" s="6">
        <v>1088.0808970356898</v>
      </c>
    </row>
    <row r="218" spans="2:16" s="8" customFormat="1" ht="34.9" hidden="1" customHeight="1">
      <c r="B218" s="15">
        <v>44075</v>
      </c>
      <c r="C218" s="11">
        <v>2124.2882028465392</v>
      </c>
      <c r="D218" s="10">
        <v>3084.8200180551257</v>
      </c>
      <c r="E218" s="10">
        <v>1996.063751436242</v>
      </c>
      <c r="F218" s="10">
        <v>1334.3557070972936</v>
      </c>
      <c r="G218" s="10">
        <v>1414.2020639226562</v>
      </c>
      <c r="H218" s="11">
        <v>1098.315638996095</v>
      </c>
      <c r="I218" s="10">
        <v>689.34849479899924</v>
      </c>
      <c r="J218" s="10">
        <v>2012.2768165464308</v>
      </c>
      <c r="K218" s="10">
        <v>787.86782437407203</v>
      </c>
      <c r="L218" s="10">
        <v>250.37818470498553</v>
      </c>
      <c r="M218" s="10">
        <v>427.85863097111826</v>
      </c>
      <c r="N218" s="10">
        <v>50.14975068305813</v>
      </c>
      <c r="O218" s="10">
        <v>3210.0657534796046</v>
      </c>
      <c r="P218" s="10">
        <v>1095.7771139283848</v>
      </c>
    </row>
    <row r="219" spans="2:16" s="8" customFormat="1" ht="34.9" hidden="1" customHeight="1">
      <c r="B219" s="14">
        <v>44105</v>
      </c>
      <c r="C219" s="7">
        <v>2061.2964051379599</v>
      </c>
      <c r="D219" s="6">
        <v>2976.3477688601406</v>
      </c>
      <c r="E219" s="6">
        <v>1981.1385973718811</v>
      </c>
      <c r="F219" s="6">
        <v>1333.6978202086991</v>
      </c>
      <c r="G219" s="6">
        <v>1400.8507029148423</v>
      </c>
      <c r="H219" s="7">
        <v>1082.2896436013286</v>
      </c>
      <c r="I219" s="6">
        <v>725.44859401851352</v>
      </c>
      <c r="J219" s="6">
        <v>2048.9073613421006</v>
      </c>
      <c r="K219" s="6">
        <v>767.44072731944902</v>
      </c>
      <c r="L219" s="6">
        <v>248.74545473827536</v>
      </c>
      <c r="M219" s="6">
        <v>433.88761358988347</v>
      </c>
      <c r="N219" s="6">
        <v>50.14975068305813</v>
      </c>
      <c r="O219" s="6">
        <v>3140.3559683380777</v>
      </c>
      <c r="P219" s="6">
        <v>1024.958948113609</v>
      </c>
    </row>
    <row r="220" spans="2:16" s="8" customFormat="1" ht="34.9" hidden="1" customHeight="1">
      <c r="B220" s="15">
        <v>44136</v>
      </c>
      <c r="C220" s="11">
        <v>2076.4788981693196</v>
      </c>
      <c r="D220" s="10">
        <v>3001.4039709280501</v>
      </c>
      <c r="E220" s="10">
        <v>2006.2226511491492</v>
      </c>
      <c r="F220" s="10">
        <v>1327.816819796521</v>
      </c>
      <c r="G220" s="10">
        <v>1404.6164988373473</v>
      </c>
      <c r="H220" s="11">
        <v>1100.8165181631623</v>
      </c>
      <c r="I220" s="10">
        <v>710.39008348093159</v>
      </c>
      <c r="J220" s="10">
        <v>2038.1629998292833</v>
      </c>
      <c r="K220" s="10">
        <v>800.88504253425253</v>
      </c>
      <c r="L220" s="10">
        <v>246.83666749610288</v>
      </c>
      <c r="M220" s="10">
        <v>461.27210411794232</v>
      </c>
      <c r="N220" s="10">
        <v>50.14975068305813</v>
      </c>
      <c r="O220" s="10">
        <v>3202.5534120374409</v>
      </c>
      <c r="P220" s="10">
        <v>1045.2312157015372</v>
      </c>
    </row>
    <row r="221" spans="2:16" s="8" customFormat="1" ht="34.9" hidden="1" customHeight="1">
      <c r="B221" s="14">
        <v>44166</v>
      </c>
      <c r="C221" s="7">
        <v>2171.6535004980828</v>
      </c>
      <c r="D221" s="6">
        <v>3153.6908427623166</v>
      </c>
      <c r="E221" s="6">
        <v>1988.9734085661316</v>
      </c>
      <c r="F221" s="6">
        <v>1338.7846561828621</v>
      </c>
      <c r="G221" s="6">
        <v>1491.3996030446356</v>
      </c>
      <c r="H221" s="7">
        <v>1148.0149821898995</v>
      </c>
      <c r="I221" s="6">
        <v>787.1480725880723</v>
      </c>
      <c r="J221" s="6">
        <v>2282.6059493654325</v>
      </c>
      <c r="K221" s="6">
        <v>812.42331864282937</v>
      </c>
      <c r="L221" s="6">
        <v>256.58129861047996</v>
      </c>
      <c r="M221" s="6">
        <v>465.54320569980104</v>
      </c>
      <c r="N221" s="6">
        <v>50.14975068305813</v>
      </c>
      <c r="O221" s="6">
        <v>3303.4779844390641</v>
      </c>
      <c r="P221" s="6">
        <v>1035.8546220268529</v>
      </c>
    </row>
    <row r="222" spans="2:16" s="8" customFormat="1" ht="34.9" hidden="1" customHeight="1">
      <c r="B222" s="3">
        <v>2021</v>
      </c>
      <c r="C222" s="13"/>
      <c r="D222" s="12"/>
      <c r="E222" s="12"/>
      <c r="F222" s="12"/>
      <c r="G222" s="12"/>
      <c r="H222" s="13"/>
      <c r="I222" s="12"/>
      <c r="J222" s="12"/>
      <c r="K222" s="12"/>
      <c r="L222" s="12"/>
      <c r="M222" s="12"/>
      <c r="N222" s="12"/>
      <c r="O222" s="12"/>
      <c r="P222" s="12"/>
    </row>
    <row r="223" spans="2:16" s="8" customFormat="1" ht="34.9" hidden="1" customHeight="1">
      <c r="B223" s="14">
        <v>44197</v>
      </c>
      <c r="C223" s="7">
        <v>2277.4874025952013</v>
      </c>
      <c r="D223" s="6">
        <v>3328.1943171203666</v>
      </c>
      <c r="E223" s="6">
        <v>1923.8916195544841</v>
      </c>
      <c r="F223" s="6">
        <v>1372.8368014822888</v>
      </c>
      <c r="G223" s="6">
        <v>1566.7836021929056</v>
      </c>
      <c r="H223" s="7">
        <v>1148.4050790486574</v>
      </c>
      <c r="I223" s="6">
        <v>772.57577755864372</v>
      </c>
      <c r="J223" s="6">
        <v>2289.3018554033506</v>
      </c>
      <c r="K223" s="6">
        <v>826.8145109224389</v>
      </c>
      <c r="L223" s="6">
        <v>282.46279467924512</v>
      </c>
      <c r="M223" s="6">
        <v>477.91704018615064</v>
      </c>
      <c r="N223" s="6">
        <v>50.14975068305813</v>
      </c>
      <c r="O223" s="6">
        <v>3191.3326694867787</v>
      </c>
      <c r="P223" s="6">
        <v>1113.5883582613042</v>
      </c>
    </row>
    <row r="224" spans="2:16" s="8" customFormat="1" ht="34.9" hidden="1" customHeight="1">
      <c r="B224" s="15">
        <v>44228</v>
      </c>
      <c r="C224" s="11">
        <v>2255.7079464026201</v>
      </c>
      <c r="D224" s="10">
        <v>3302.5682323507535</v>
      </c>
      <c r="E224" s="10">
        <v>1898.3920684902134</v>
      </c>
      <c r="F224" s="10">
        <v>1365.534656704504</v>
      </c>
      <c r="G224" s="10">
        <v>1518.7213423865869</v>
      </c>
      <c r="H224" s="11">
        <v>1201.8572466745286</v>
      </c>
      <c r="I224" s="10">
        <v>768.30522896061871</v>
      </c>
      <c r="J224" s="10">
        <v>2299.6922263512442</v>
      </c>
      <c r="K224" s="10">
        <v>787.41721134228146</v>
      </c>
      <c r="L224" s="10">
        <v>278.44829496840515</v>
      </c>
      <c r="M224" s="10">
        <v>483.38295153528173</v>
      </c>
      <c r="N224" s="10">
        <v>50.14975068305813</v>
      </c>
      <c r="O224" s="10">
        <v>3578.018448831127</v>
      </c>
      <c r="P224" s="10">
        <v>1088.2264769508561</v>
      </c>
    </row>
    <row r="225" spans="2:16" s="8" customFormat="1" ht="34.9" hidden="1" customHeight="1">
      <c r="B225" s="14">
        <v>44256</v>
      </c>
      <c r="C225" s="7">
        <v>2238.2203369719491</v>
      </c>
      <c r="D225" s="6">
        <v>3260.3093287233919</v>
      </c>
      <c r="E225" s="6">
        <v>1858.7028114883744</v>
      </c>
      <c r="F225" s="6">
        <v>1382.6815150566874</v>
      </c>
      <c r="G225" s="6">
        <v>1578.3865603589575</v>
      </c>
      <c r="H225" s="7">
        <v>1181.7041839279548</v>
      </c>
      <c r="I225" s="6">
        <v>725.49937062288654</v>
      </c>
      <c r="J225" s="6">
        <v>2322.0783902456988</v>
      </c>
      <c r="K225" s="6">
        <v>756.8557411571652</v>
      </c>
      <c r="L225" s="6">
        <v>279.63159190910528</v>
      </c>
      <c r="M225" s="6">
        <v>476.85269815208613</v>
      </c>
      <c r="N225" s="6">
        <v>50.14975068305813</v>
      </c>
      <c r="O225" s="6">
        <v>3527.2784289711199</v>
      </c>
      <c r="P225" s="6">
        <v>1032.3767834811488</v>
      </c>
    </row>
    <row r="226" spans="2:16" s="8" customFormat="1" ht="34.9" hidden="1" customHeight="1">
      <c r="B226" s="15">
        <v>44287</v>
      </c>
      <c r="C226" s="11">
        <v>2247.2221036674355</v>
      </c>
      <c r="D226" s="10">
        <v>3303.3998867718742</v>
      </c>
      <c r="E226" s="10">
        <v>1822.9302880915773</v>
      </c>
      <c r="F226" s="10">
        <v>1288.109207067035</v>
      </c>
      <c r="G226" s="10">
        <v>1550.3385287910639</v>
      </c>
      <c r="H226" s="11">
        <v>1212.8609933823718</v>
      </c>
      <c r="I226" s="10">
        <v>710.76677503430369</v>
      </c>
      <c r="J226" s="10">
        <v>2319.909574812717</v>
      </c>
      <c r="K226" s="10">
        <v>755.17424087683264</v>
      </c>
      <c r="L226" s="10">
        <v>273.13567006859023</v>
      </c>
      <c r="M226" s="10">
        <v>476.85269815208613</v>
      </c>
      <c r="N226" s="10">
        <v>50.14975068305813</v>
      </c>
      <c r="O226" s="10">
        <v>3721.5131334045354</v>
      </c>
      <c r="P226" s="10">
        <v>1058.6774803293222</v>
      </c>
    </row>
    <row r="227" spans="2:16" s="8" customFormat="1" ht="34.9" hidden="1" customHeight="1">
      <c r="B227" s="14">
        <v>44317</v>
      </c>
      <c r="C227" s="7">
        <v>2541.1286043349792</v>
      </c>
      <c r="D227" s="6">
        <v>3786.412897953865</v>
      </c>
      <c r="E227" s="6">
        <v>1861.2352783996701</v>
      </c>
      <c r="F227" s="6">
        <v>1345.2757949802531</v>
      </c>
      <c r="G227" s="6">
        <v>1706.5205239922154</v>
      </c>
      <c r="H227" s="7">
        <v>1330.4583023234243</v>
      </c>
      <c r="I227" s="6">
        <v>742.64975917551101</v>
      </c>
      <c r="J227" s="6">
        <v>2265.19061072772</v>
      </c>
      <c r="K227" s="6">
        <v>827.45713000771843</v>
      </c>
      <c r="L227" s="6">
        <v>290.20353766464268</v>
      </c>
      <c r="M227" s="6">
        <v>604.22353937700177</v>
      </c>
      <c r="N227" s="6">
        <v>50.14975068305813</v>
      </c>
      <c r="O227" s="6">
        <v>4220.7528403312681</v>
      </c>
      <c r="P227" s="6">
        <v>1140.2156278380669</v>
      </c>
    </row>
    <row r="228" spans="2:16" s="8" customFormat="1" ht="34.9" hidden="1" customHeight="1">
      <c r="B228" s="15">
        <v>44348</v>
      </c>
      <c r="C228" s="11">
        <v>2554.7185532007434</v>
      </c>
      <c r="D228" s="10">
        <v>3797.874521944058</v>
      </c>
      <c r="E228" s="10">
        <v>1903.4028625212241</v>
      </c>
      <c r="F228" s="10">
        <v>1441.4532771003971</v>
      </c>
      <c r="G228" s="10">
        <v>1662.9801154927782</v>
      </c>
      <c r="H228" s="11">
        <v>1324.5589368277917</v>
      </c>
      <c r="I228" s="10">
        <v>712.88669826687783</v>
      </c>
      <c r="J228" s="10">
        <v>2348.4282513107746</v>
      </c>
      <c r="K228" s="10">
        <v>808.8576000536292</v>
      </c>
      <c r="L228" s="10">
        <v>282.66013689835842</v>
      </c>
      <c r="M228" s="10">
        <v>613.58288255396883</v>
      </c>
      <c r="N228" s="10">
        <v>50.14975068305813</v>
      </c>
      <c r="O228" s="10">
        <v>4215.8060139260497</v>
      </c>
      <c r="P228" s="10">
        <v>1070.0251751989192</v>
      </c>
    </row>
    <row r="229" spans="2:16" s="8" customFormat="1" ht="34.9" hidden="1" customHeight="1">
      <c r="B229" s="14">
        <v>44378</v>
      </c>
      <c r="C229" s="7">
        <v>2519.5030140409549</v>
      </c>
      <c r="D229" s="6">
        <v>3748.4733075294257</v>
      </c>
      <c r="E229" s="6">
        <v>1841.1004480837498</v>
      </c>
      <c r="F229" s="6">
        <v>1413.7803482482461</v>
      </c>
      <c r="G229" s="6">
        <v>1649.6166134359412</v>
      </c>
      <c r="H229" s="7">
        <v>1311.0403913306752</v>
      </c>
      <c r="I229" s="6">
        <v>750.35068069687713</v>
      </c>
      <c r="J229" s="6">
        <v>2254.6781538716896</v>
      </c>
      <c r="K229" s="6">
        <v>813.82576355323238</v>
      </c>
      <c r="L229" s="6">
        <v>271.69910082549029</v>
      </c>
      <c r="M229" s="6">
        <v>608.43284045365681</v>
      </c>
      <c r="N229" s="6">
        <v>50.14975068305813</v>
      </c>
      <c r="O229" s="6">
        <v>4193.4290636539727</v>
      </c>
      <c r="P229" s="6">
        <v>1058.449467267272</v>
      </c>
    </row>
    <row r="230" spans="2:16" s="8" customFormat="1" ht="34.9" hidden="1" customHeight="1">
      <c r="B230" s="15">
        <v>44409</v>
      </c>
      <c r="C230" s="11">
        <v>2516.243648814494</v>
      </c>
      <c r="D230" s="10">
        <v>3753.2262954304979</v>
      </c>
      <c r="E230" s="10">
        <v>1807.5891546528758</v>
      </c>
      <c r="F230" s="10">
        <v>1374.0515764098288</v>
      </c>
      <c r="G230" s="10">
        <v>1649.6831014808672</v>
      </c>
      <c r="H230" s="11">
        <v>1296.1802718948509</v>
      </c>
      <c r="I230" s="10">
        <v>764.49285065321544</v>
      </c>
      <c r="J230" s="10">
        <v>2265.5104593945766</v>
      </c>
      <c r="K230" s="10">
        <v>812.88591560844861</v>
      </c>
      <c r="L230" s="10">
        <v>262.60742283086029</v>
      </c>
      <c r="M230" s="10">
        <v>580.10760890194103</v>
      </c>
      <c r="N230" s="10">
        <v>50.14975068305813</v>
      </c>
      <c r="O230" s="10">
        <v>4143.0291182756018</v>
      </c>
      <c r="P230" s="10">
        <v>1035.4841933876976</v>
      </c>
    </row>
    <row r="231" spans="2:16" s="8" customFormat="1" ht="34.9" hidden="1" customHeight="1">
      <c r="B231" s="14">
        <v>44440</v>
      </c>
      <c r="C231" s="7">
        <v>2530.0144797085572</v>
      </c>
      <c r="D231" s="6">
        <v>3737.7725336007361</v>
      </c>
      <c r="E231" s="6">
        <v>2119.0254706328765</v>
      </c>
      <c r="F231" s="6">
        <v>1370.604006742079</v>
      </c>
      <c r="G231" s="6">
        <v>1700.6705202849105</v>
      </c>
      <c r="H231" s="7">
        <v>1294.6659963852437</v>
      </c>
      <c r="I231" s="6">
        <v>801.10721059841478</v>
      </c>
      <c r="J231" s="6">
        <v>2337.4400852767685</v>
      </c>
      <c r="K231" s="6">
        <v>806.28829586042298</v>
      </c>
      <c r="L231" s="6">
        <v>261.0023475850374</v>
      </c>
      <c r="M231" s="6">
        <v>576.84591557174338</v>
      </c>
      <c r="N231" s="6">
        <v>50.14975068305813</v>
      </c>
      <c r="O231" s="6">
        <v>4086.7744017747082</v>
      </c>
      <c r="P231" s="6">
        <v>1038.4402156585413</v>
      </c>
    </row>
    <row r="232" spans="2:16" s="8" customFormat="1" ht="34.9" hidden="1" customHeight="1">
      <c r="B232" s="15">
        <v>44470</v>
      </c>
      <c r="C232" s="11">
        <v>2577.3139216318846</v>
      </c>
      <c r="D232" s="10">
        <v>3827.2488880110609</v>
      </c>
      <c r="E232" s="10">
        <v>2086.9193136424055</v>
      </c>
      <c r="F232" s="10">
        <v>1368.4420561589582</v>
      </c>
      <c r="G232" s="10">
        <v>1694.1500739832104</v>
      </c>
      <c r="H232" s="11">
        <v>1352.2692196959929</v>
      </c>
      <c r="I232" s="10">
        <v>793.55182899539705</v>
      </c>
      <c r="J232" s="10">
        <v>2524.4726986215787</v>
      </c>
      <c r="K232" s="10">
        <v>844.96518751082908</v>
      </c>
      <c r="L232" s="10">
        <v>271.90237655030535</v>
      </c>
      <c r="M232" s="10">
        <v>616.60424058615195</v>
      </c>
      <c r="N232" s="10">
        <v>50.14975068305813</v>
      </c>
      <c r="O232" s="10">
        <v>4285.9626669121399</v>
      </c>
      <c r="P232" s="10">
        <v>1008.3814327797576</v>
      </c>
    </row>
    <row r="233" spans="2:16" s="8" customFormat="1" ht="34.9" hidden="1" customHeight="1">
      <c r="B233" s="14">
        <v>44501</v>
      </c>
      <c r="C233" s="7">
        <v>2506.523748960597</v>
      </c>
      <c r="D233" s="6">
        <v>3718.0864935934255</v>
      </c>
      <c r="E233" s="6">
        <v>1978.4127498481866</v>
      </c>
      <c r="F233" s="6">
        <v>1367.6731623700566</v>
      </c>
      <c r="G233" s="6">
        <v>1658.8598035637219</v>
      </c>
      <c r="H233" s="7">
        <v>1318.8527816042342</v>
      </c>
      <c r="I233" s="6">
        <v>750.15820194076537</v>
      </c>
      <c r="J233" s="6">
        <v>2565.4640130463163</v>
      </c>
      <c r="K233" s="6">
        <v>789.09479726983352</v>
      </c>
      <c r="L233" s="6">
        <v>280.21027670394193</v>
      </c>
      <c r="M233" s="6">
        <v>579.23553510628813</v>
      </c>
      <c r="N233" s="6">
        <v>50.14975068305813</v>
      </c>
      <c r="O233" s="6">
        <v>4115.9968247480974</v>
      </c>
      <c r="P233" s="6">
        <v>1041.3545388238301</v>
      </c>
    </row>
    <row r="234" spans="2:16" s="8" customFormat="1" ht="34.9" hidden="1" customHeight="1">
      <c r="B234" s="15">
        <v>44531</v>
      </c>
      <c r="C234" s="11">
        <v>2604.4636666529068</v>
      </c>
      <c r="D234" s="10">
        <v>3894.838925484029</v>
      </c>
      <c r="E234" s="10">
        <v>1929.0361362649301</v>
      </c>
      <c r="F234" s="10">
        <v>1363.2141083930796</v>
      </c>
      <c r="G234" s="10">
        <v>1679.8039577177021</v>
      </c>
      <c r="H234" s="11">
        <v>1327.4205470300733</v>
      </c>
      <c r="I234" s="10">
        <v>750.50684827660587</v>
      </c>
      <c r="J234" s="10">
        <v>2549.0986593786456</v>
      </c>
      <c r="K234" s="10">
        <v>797.21254521126116</v>
      </c>
      <c r="L234" s="10">
        <v>294.69071459831787</v>
      </c>
      <c r="M234" s="10">
        <v>603.79093584057568</v>
      </c>
      <c r="N234" s="10">
        <v>50.14975068305813</v>
      </c>
      <c r="O234" s="10">
        <v>4199.6043136972467</v>
      </c>
      <c r="P234" s="10">
        <v>953.5320025721536</v>
      </c>
    </row>
    <row r="235" spans="2:16" s="8" customFormat="1" ht="34.9" hidden="1" customHeight="1">
      <c r="B235" s="3">
        <v>2022</v>
      </c>
      <c r="C235" s="13"/>
      <c r="D235" s="12"/>
      <c r="E235" s="12"/>
      <c r="F235" s="12"/>
      <c r="G235" s="12"/>
      <c r="H235" s="13"/>
      <c r="I235" s="12"/>
      <c r="J235" s="12"/>
      <c r="K235" s="12"/>
      <c r="L235" s="12"/>
      <c r="M235" s="12"/>
      <c r="N235" s="12"/>
      <c r="O235" s="12"/>
      <c r="P235" s="12"/>
    </row>
    <row r="236" spans="2:16" s="8" customFormat="1" ht="34.9" hidden="1" customHeight="1">
      <c r="B236" s="14">
        <v>44562</v>
      </c>
      <c r="C236" s="7">
        <v>2694.44</v>
      </c>
      <c r="D236" s="6">
        <v>4046.27</v>
      </c>
      <c r="E236" s="6">
        <v>2046.89</v>
      </c>
      <c r="F236" s="6">
        <v>1381.31</v>
      </c>
      <c r="G236" s="6">
        <v>1657.43</v>
      </c>
      <c r="H236" s="7">
        <v>1345.08</v>
      </c>
      <c r="I236" s="6">
        <v>774.2</v>
      </c>
      <c r="J236" s="6">
        <v>2486.1799999999998</v>
      </c>
      <c r="K236" s="6">
        <v>796.26</v>
      </c>
      <c r="L236" s="6">
        <v>293.31</v>
      </c>
      <c r="M236" s="6">
        <v>602.53</v>
      </c>
      <c r="N236" s="6">
        <v>50.15</v>
      </c>
      <c r="O236" s="6">
        <v>4382.4799999999996</v>
      </c>
      <c r="P236" s="6">
        <v>912.02</v>
      </c>
    </row>
    <row r="237" spans="2:16" s="8" customFormat="1" ht="34.9" hidden="1" customHeight="1">
      <c r="B237" s="15">
        <v>44593</v>
      </c>
      <c r="C237" s="11">
        <v>2648.03</v>
      </c>
      <c r="D237" s="10">
        <v>3985.08</v>
      </c>
      <c r="E237" s="10">
        <v>2076.83</v>
      </c>
      <c r="F237" s="10">
        <v>1344.75</v>
      </c>
      <c r="G237" s="10">
        <v>1567.89</v>
      </c>
      <c r="H237" s="11">
        <v>1331.25</v>
      </c>
      <c r="I237" s="10">
        <v>851.9</v>
      </c>
      <c r="J237" s="10">
        <v>2441.79</v>
      </c>
      <c r="K237" s="10">
        <v>773.25</v>
      </c>
      <c r="L237" s="10">
        <v>284.20999999999998</v>
      </c>
      <c r="M237" s="10">
        <v>616.23</v>
      </c>
      <c r="N237" s="10">
        <v>50.15</v>
      </c>
      <c r="O237" s="10">
        <v>4391.24</v>
      </c>
      <c r="P237" s="10">
        <v>819.61</v>
      </c>
    </row>
    <row r="238" spans="2:16" s="8" customFormat="1" ht="34.9" hidden="1" customHeight="1">
      <c r="B238" s="14">
        <v>44621</v>
      </c>
      <c r="C238" s="7">
        <v>2621.79</v>
      </c>
      <c r="D238" s="6">
        <v>3983.65</v>
      </c>
      <c r="E238" s="6">
        <v>1967.24</v>
      </c>
      <c r="F238" s="6">
        <v>1245.73</v>
      </c>
      <c r="G238" s="6">
        <v>1486.65</v>
      </c>
      <c r="H238" s="7">
        <v>1332.33</v>
      </c>
      <c r="I238" s="6">
        <v>858.22</v>
      </c>
      <c r="J238" s="6">
        <v>2294.06</v>
      </c>
      <c r="K238" s="6">
        <v>746.53</v>
      </c>
      <c r="L238" s="6">
        <v>265.23</v>
      </c>
      <c r="M238" s="6">
        <v>580.49</v>
      </c>
      <c r="N238" s="6">
        <v>50.15</v>
      </c>
      <c r="O238" s="6">
        <v>4598.84</v>
      </c>
      <c r="P238" s="6">
        <v>789.47</v>
      </c>
    </row>
    <row r="239" spans="2:16" s="8" customFormat="1" ht="34.9" hidden="1" customHeight="1">
      <c r="B239" s="15">
        <v>44652</v>
      </c>
      <c r="C239" s="11">
        <v>2728.7</v>
      </c>
      <c r="D239" s="10">
        <v>4180.6099999999997</v>
      </c>
      <c r="E239" s="10">
        <v>1934.6</v>
      </c>
      <c r="F239" s="10">
        <v>1228.1099999999999</v>
      </c>
      <c r="G239" s="10">
        <v>1494.7</v>
      </c>
      <c r="H239" s="11">
        <v>1443.35</v>
      </c>
      <c r="I239" s="10">
        <v>907.82</v>
      </c>
      <c r="J239" s="10">
        <v>2394.0100000000002</v>
      </c>
      <c r="K239" s="10">
        <v>784.89</v>
      </c>
      <c r="L239" s="10">
        <v>272.17</v>
      </c>
      <c r="M239" s="10">
        <v>551.98</v>
      </c>
      <c r="N239" s="10">
        <v>50.15</v>
      </c>
      <c r="O239" s="10">
        <v>5130.33</v>
      </c>
      <c r="P239" s="10">
        <v>884.4</v>
      </c>
    </row>
    <row r="240" spans="2:16" s="8" customFormat="1" ht="34.9" hidden="1" customHeight="1">
      <c r="B240" s="14">
        <v>44682</v>
      </c>
      <c r="C240" s="7">
        <v>2684.26</v>
      </c>
      <c r="D240" s="6">
        <v>4094.4</v>
      </c>
      <c r="E240" s="6">
        <v>1934.61</v>
      </c>
      <c r="F240" s="6">
        <v>1208.18</v>
      </c>
      <c r="G240" s="6">
        <v>1543.68</v>
      </c>
      <c r="H240" s="7">
        <v>1571.16</v>
      </c>
      <c r="I240" s="6">
        <v>948.42</v>
      </c>
      <c r="J240" s="6">
        <v>2448.9499999999998</v>
      </c>
      <c r="K240" s="6">
        <v>829.35</v>
      </c>
      <c r="L240" s="6">
        <v>279.02999999999997</v>
      </c>
      <c r="M240" s="6">
        <v>552.79999999999995</v>
      </c>
      <c r="N240" s="6">
        <v>50.15</v>
      </c>
      <c r="O240" s="6">
        <v>5833.13</v>
      </c>
      <c r="P240" s="6">
        <v>900.95</v>
      </c>
    </row>
    <row r="241" spans="2:16" s="8" customFormat="1" ht="34.9" hidden="1" customHeight="1">
      <c r="B241" s="15">
        <v>44713</v>
      </c>
      <c r="C241" s="11">
        <v>2663.79</v>
      </c>
      <c r="D241" s="10">
        <v>4047.74</v>
      </c>
      <c r="E241" s="10">
        <v>1815.57</v>
      </c>
      <c r="F241" s="10">
        <v>1279.08</v>
      </c>
      <c r="G241" s="10">
        <v>1586.62</v>
      </c>
      <c r="H241" s="11">
        <v>1657.54</v>
      </c>
      <c r="I241" s="10">
        <v>953.88</v>
      </c>
      <c r="J241" s="10">
        <v>2454.41</v>
      </c>
      <c r="K241" s="10">
        <v>825.06</v>
      </c>
      <c r="L241" s="10">
        <v>268.81</v>
      </c>
      <c r="M241" s="10">
        <v>548.84</v>
      </c>
      <c r="N241" s="10">
        <v>50.15</v>
      </c>
      <c r="O241" s="10">
        <v>6415.2</v>
      </c>
      <c r="P241" s="10">
        <v>884.35</v>
      </c>
    </row>
    <row r="242" spans="2:16" s="8" customFormat="1" ht="34.9" hidden="1" customHeight="1">
      <c r="B242" s="14">
        <v>44743</v>
      </c>
      <c r="C242" s="7">
        <v>2717.88</v>
      </c>
      <c r="D242" s="6">
        <v>4155.59</v>
      </c>
      <c r="E242" s="6">
        <v>1824.07</v>
      </c>
      <c r="F242" s="6">
        <v>1273.6099999999999</v>
      </c>
      <c r="G242" s="6">
        <v>1530.31</v>
      </c>
      <c r="H242" s="7">
        <v>1881.56</v>
      </c>
      <c r="I242" s="6">
        <v>927.21</v>
      </c>
      <c r="J242" s="6">
        <v>2439.3000000000002</v>
      </c>
      <c r="K242" s="6">
        <v>777.34</v>
      </c>
      <c r="L242" s="6">
        <v>266.79000000000002</v>
      </c>
      <c r="M242" s="6">
        <v>597.77</v>
      </c>
      <c r="N242" s="6">
        <v>50.15</v>
      </c>
      <c r="O242" s="6">
        <v>8000.58</v>
      </c>
      <c r="P242" s="6">
        <v>864.88</v>
      </c>
    </row>
    <row r="243" spans="2:16" s="8" customFormat="1" ht="34.9" hidden="1" customHeight="1">
      <c r="B243" s="15">
        <v>44774</v>
      </c>
      <c r="C243" s="11">
        <v>2673.44</v>
      </c>
      <c r="D243" s="10">
        <v>4076.98</v>
      </c>
      <c r="E243" s="10">
        <v>1872.47</v>
      </c>
      <c r="F243" s="10">
        <v>1255.31</v>
      </c>
      <c r="G243" s="10">
        <v>1519.71</v>
      </c>
      <c r="H243" s="11">
        <v>1807.71</v>
      </c>
      <c r="I243" s="10">
        <v>939.33</v>
      </c>
      <c r="J243" s="10">
        <v>2392.65</v>
      </c>
      <c r="K243" s="10">
        <v>793.63</v>
      </c>
      <c r="L243" s="10">
        <v>264.97000000000003</v>
      </c>
      <c r="M243" s="10">
        <v>595.07000000000005</v>
      </c>
      <c r="N243" s="10">
        <v>50.15</v>
      </c>
      <c r="O243" s="10">
        <v>7554.49</v>
      </c>
      <c r="P243" s="10">
        <v>822.15</v>
      </c>
    </row>
    <row r="244" spans="2:16" s="8" customFormat="1" ht="34.9" hidden="1" customHeight="1">
      <c r="B244" s="14">
        <v>44805</v>
      </c>
      <c r="C244" s="7">
        <v>2644.87</v>
      </c>
      <c r="D244" s="6">
        <v>4035.05</v>
      </c>
      <c r="E244" s="6">
        <v>1894.33</v>
      </c>
      <c r="F244" s="6">
        <v>1228.4000000000001</v>
      </c>
      <c r="G244" s="6">
        <v>1486.08</v>
      </c>
      <c r="H244" s="7">
        <v>1728.76</v>
      </c>
      <c r="I244" s="6">
        <v>1032.6600000000001</v>
      </c>
      <c r="J244" s="6">
        <v>2356.44</v>
      </c>
      <c r="K244" s="6">
        <v>821.18</v>
      </c>
      <c r="L244" s="6">
        <v>257.14</v>
      </c>
      <c r="M244" s="6">
        <v>593.69000000000005</v>
      </c>
      <c r="N244" s="6">
        <v>50.15</v>
      </c>
      <c r="O244" s="6">
        <v>7024.36</v>
      </c>
      <c r="P244" s="6">
        <v>796.67</v>
      </c>
    </row>
    <row r="245" spans="2:16" s="8" customFormat="1" ht="34.9" hidden="1" customHeight="1">
      <c r="B245" s="15">
        <v>44835</v>
      </c>
      <c r="C245" s="11">
        <v>2640.77</v>
      </c>
      <c r="D245" s="10">
        <v>4034.99</v>
      </c>
      <c r="E245" s="10">
        <v>1909.68</v>
      </c>
      <c r="F245" s="10">
        <v>1182.55</v>
      </c>
      <c r="G245" s="10">
        <v>1479.88</v>
      </c>
      <c r="H245" s="11">
        <v>1660.86</v>
      </c>
      <c r="I245" s="10">
        <v>1004.78</v>
      </c>
      <c r="J245" s="10">
        <v>2339.41</v>
      </c>
      <c r="K245" s="10">
        <v>780.69</v>
      </c>
      <c r="L245" s="10">
        <v>263.83999999999997</v>
      </c>
      <c r="M245" s="10">
        <v>617.67999999999995</v>
      </c>
      <c r="N245" s="10">
        <v>50.15</v>
      </c>
      <c r="O245" s="10">
        <v>6565.62</v>
      </c>
      <c r="P245" s="10">
        <v>813.47</v>
      </c>
    </row>
    <row r="246" spans="2:16" s="8" customFormat="1" ht="34.9" hidden="1" customHeight="1">
      <c r="B246" s="14">
        <v>44866</v>
      </c>
      <c r="C246" s="7">
        <v>2681.44</v>
      </c>
      <c r="D246" s="6">
        <v>4110.08</v>
      </c>
      <c r="E246" s="6">
        <v>1857.46</v>
      </c>
      <c r="F246" s="6">
        <v>1183.8499999999999</v>
      </c>
      <c r="G246" s="6">
        <v>1486.77</v>
      </c>
      <c r="H246" s="7">
        <v>1736.79</v>
      </c>
      <c r="I246" s="6">
        <v>1040.54</v>
      </c>
      <c r="J246" s="6">
        <v>2478.8200000000002</v>
      </c>
      <c r="K246" s="6">
        <v>774.23</v>
      </c>
      <c r="L246" s="6">
        <v>266</v>
      </c>
      <c r="M246" s="6">
        <v>612.47</v>
      </c>
      <c r="N246" s="6">
        <v>50.15</v>
      </c>
      <c r="O246" s="6">
        <v>6959.53</v>
      </c>
      <c r="P246" s="6">
        <v>840.98</v>
      </c>
    </row>
    <row r="247" spans="2:16" s="8" customFormat="1" ht="34.9" hidden="1" customHeight="1">
      <c r="B247" s="15">
        <v>44896</v>
      </c>
      <c r="C247" s="11">
        <v>2692.23</v>
      </c>
      <c r="D247" s="10">
        <v>4130.91</v>
      </c>
      <c r="E247" s="10">
        <v>1843.58</v>
      </c>
      <c r="F247" s="10">
        <v>1179.1199999999999</v>
      </c>
      <c r="G247" s="10">
        <v>1488.11</v>
      </c>
      <c r="H247" s="11">
        <v>1740.81</v>
      </c>
      <c r="I247" s="10">
        <v>1124.78</v>
      </c>
      <c r="J247" s="10">
        <v>2579.88</v>
      </c>
      <c r="K247" s="10">
        <v>793.96</v>
      </c>
      <c r="L247" s="10">
        <v>271.93</v>
      </c>
      <c r="M247" s="10">
        <v>626.22</v>
      </c>
      <c r="N247" s="10">
        <v>50.15</v>
      </c>
      <c r="O247" s="10">
        <v>6873.63</v>
      </c>
      <c r="P247" s="10">
        <v>808.41</v>
      </c>
    </row>
    <row r="248" spans="2:16" s="8" customFormat="1" ht="34.9" hidden="1" customHeight="1">
      <c r="B248" s="3">
        <v>2023</v>
      </c>
      <c r="C248" s="13"/>
      <c r="D248" s="12"/>
      <c r="E248" s="12"/>
      <c r="F248" s="12"/>
      <c r="G248" s="12"/>
      <c r="H248" s="13"/>
      <c r="I248" s="12"/>
      <c r="J248" s="12"/>
      <c r="K248" s="12"/>
      <c r="L248" s="12"/>
      <c r="M248" s="12"/>
      <c r="N248" s="12"/>
      <c r="O248" s="12"/>
      <c r="P248" s="12"/>
    </row>
    <row r="249" spans="2:16" s="8" customFormat="1" ht="34.9" hidden="1" customHeight="1">
      <c r="B249" s="14">
        <v>44927</v>
      </c>
      <c r="C249" s="7">
        <v>2789.67</v>
      </c>
      <c r="D249" s="6">
        <v>4283.38</v>
      </c>
      <c r="E249" s="6">
        <v>1847.21</v>
      </c>
      <c r="F249" s="6">
        <v>1193.8800000000001</v>
      </c>
      <c r="G249" s="6">
        <v>1579.44</v>
      </c>
      <c r="H249" s="7">
        <v>1889.9</v>
      </c>
      <c r="I249" s="6">
        <v>1070.23</v>
      </c>
      <c r="J249" s="6">
        <v>2410.31</v>
      </c>
      <c r="K249" s="6">
        <v>758.53</v>
      </c>
      <c r="L249" s="6">
        <v>274.37</v>
      </c>
      <c r="M249" s="6">
        <v>719.74</v>
      </c>
      <c r="N249" s="6">
        <v>50.15</v>
      </c>
      <c r="O249" s="6">
        <v>7990.82</v>
      </c>
      <c r="P249" s="6">
        <v>780.47</v>
      </c>
    </row>
    <row r="250" spans="2:16" s="8" customFormat="1" ht="34.9" hidden="1" customHeight="1">
      <c r="B250" s="15">
        <v>44958</v>
      </c>
      <c r="C250" s="11">
        <v>2780.29</v>
      </c>
      <c r="D250" s="10">
        <v>4260.7</v>
      </c>
      <c r="E250" s="10">
        <v>1828.75</v>
      </c>
      <c r="F250" s="10">
        <v>1210.28</v>
      </c>
      <c r="G250" s="10">
        <v>1607.69</v>
      </c>
      <c r="H250" s="11">
        <v>1831.54</v>
      </c>
      <c r="I250" s="10">
        <v>1038.1199999999999</v>
      </c>
      <c r="J250" s="10">
        <v>2377.44</v>
      </c>
      <c r="K250" s="10">
        <v>744.8</v>
      </c>
      <c r="L250" s="10">
        <v>283.14999999999998</v>
      </c>
      <c r="M250" s="10">
        <v>708.69</v>
      </c>
      <c r="N250" s="10">
        <v>50.15</v>
      </c>
      <c r="O250" s="10">
        <v>7640.83</v>
      </c>
      <c r="P250" s="10">
        <v>776.75</v>
      </c>
    </row>
    <row r="251" spans="2:16" s="8" customFormat="1" ht="34.9" hidden="1" customHeight="1">
      <c r="B251" s="14">
        <v>44986</v>
      </c>
      <c r="C251" s="7">
        <v>2733.14</v>
      </c>
      <c r="D251" s="6">
        <v>4190.92</v>
      </c>
      <c r="E251" s="6">
        <v>1820.57</v>
      </c>
      <c r="F251" s="6">
        <v>1183.58</v>
      </c>
      <c r="G251" s="6">
        <v>1562.59</v>
      </c>
      <c r="H251" s="7">
        <v>1850.59</v>
      </c>
      <c r="I251" s="6">
        <v>1060.54</v>
      </c>
      <c r="J251" s="6">
        <v>2361.04</v>
      </c>
      <c r="K251" s="6">
        <v>763.99</v>
      </c>
      <c r="L251" s="6">
        <v>284.24</v>
      </c>
      <c r="M251" s="6">
        <v>700.08</v>
      </c>
      <c r="N251" s="6">
        <v>50.15</v>
      </c>
      <c r="O251" s="6">
        <v>7758.06</v>
      </c>
      <c r="P251" s="6">
        <v>780.44</v>
      </c>
    </row>
    <row r="252" spans="2:16" s="8" customFormat="1" ht="34.9" hidden="1" customHeight="1">
      <c r="B252" s="15">
        <v>45017</v>
      </c>
      <c r="C252" s="11">
        <v>2635.88</v>
      </c>
      <c r="D252" s="10">
        <v>4021.31</v>
      </c>
      <c r="E252" s="10">
        <v>1770.37</v>
      </c>
      <c r="F252" s="10">
        <v>1198.78</v>
      </c>
      <c r="G252" s="10">
        <v>1561.72</v>
      </c>
      <c r="H252" s="11">
        <v>1749.42</v>
      </c>
      <c r="I252" s="10">
        <v>1152.05</v>
      </c>
      <c r="J252" s="10">
        <v>2303.1799999999998</v>
      </c>
      <c r="K252" s="10">
        <v>737.64</v>
      </c>
      <c r="L252" s="10">
        <v>278.70999999999998</v>
      </c>
      <c r="M252" s="10">
        <v>604.41</v>
      </c>
      <c r="N252" s="10">
        <v>50.15</v>
      </c>
      <c r="O252" s="10">
        <v>7260.18</v>
      </c>
      <c r="P252" s="10">
        <v>772.67</v>
      </c>
    </row>
    <row r="253" spans="2:16" s="8" customFormat="1" ht="34.9" hidden="1" customHeight="1">
      <c r="B253" s="14">
        <v>45047</v>
      </c>
      <c r="C253" s="7">
        <v>2649.21</v>
      </c>
      <c r="D253" s="6">
        <v>4043.74</v>
      </c>
      <c r="E253" s="6">
        <v>1815.49</v>
      </c>
      <c r="F253" s="6">
        <v>1203.98</v>
      </c>
      <c r="G253" s="6">
        <v>1543</v>
      </c>
      <c r="H253" s="7">
        <v>1742.58</v>
      </c>
      <c r="I253" s="6">
        <v>1199.92</v>
      </c>
      <c r="J253" s="6">
        <v>2368.0700000000002</v>
      </c>
      <c r="K253" s="6">
        <v>857.33</v>
      </c>
      <c r="L253" s="6">
        <v>302.06</v>
      </c>
      <c r="M253" s="6">
        <v>664.35</v>
      </c>
      <c r="N253" s="6">
        <v>50.15</v>
      </c>
      <c r="O253" s="6">
        <v>6847.5</v>
      </c>
      <c r="P253" s="6">
        <v>784.71</v>
      </c>
    </row>
    <row r="254" spans="2:16" s="8" customFormat="1" ht="34.9" hidden="1" customHeight="1">
      <c r="B254" s="15">
        <v>45078</v>
      </c>
      <c r="C254" s="11">
        <v>2626.31</v>
      </c>
      <c r="D254" s="10">
        <v>3997.11</v>
      </c>
      <c r="E254" s="10">
        <v>1823.6</v>
      </c>
      <c r="F254" s="10">
        <v>1232.98</v>
      </c>
      <c r="G254" s="10">
        <v>1547.93</v>
      </c>
      <c r="H254" s="11">
        <v>1757.12</v>
      </c>
      <c r="I254" s="10">
        <v>1224.1600000000001</v>
      </c>
      <c r="J254" s="10">
        <v>2379.5</v>
      </c>
      <c r="K254" s="10">
        <v>904.17</v>
      </c>
      <c r="L254" s="10">
        <v>306.64999999999998</v>
      </c>
      <c r="M254" s="10">
        <v>649.55999999999995</v>
      </c>
      <c r="N254" s="10">
        <v>50.15</v>
      </c>
      <c r="O254" s="10">
        <v>6903.04</v>
      </c>
      <c r="P254" s="10">
        <v>777.49</v>
      </c>
    </row>
    <row r="255" spans="2:16" s="8" customFormat="1" ht="34.9" hidden="1" customHeight="1">
      <c r="B255" s="14">
        <v>45108</v>
      </c>
      <c r="C255" s="7">
        <v>2632.76</v>
      </c>
      <c r="D255" s="6">
        <v>4019.66</v>
      </c>
      <c r="E255" s="6">
        <v>1771.78</v>
      </c>
      <c r="F255" s="6">
        <v>1192.0899999999999</v>
      </c>
      <c r="G255" s="6">
        <v>1546.1</v>
      </c>
      <c r="H255" s="7">
        <v>1732.9</v>
      </c>
      <c r="I255" s="6">
        <v>1224.1600000000001</v>
      </c>
      <c r="J255" s="6">
        <v>2384.6999999999998</v>
      </c>
      <c r="K255" s="6">
        <v>899.85</v>
      </c>
      <c r="L255" s="6">
        <v>316.10000000000002</v>
      </c>
      <c r="M255" s="6">
        <v>658.79</v>
      </c>
      <c r="N255" s="6">
        <v>50.15</v>
      </c>
      <c r="O255" s="6">
        <v>6702.36</v>
      </c>
      <c r="P255" s="6">
        <v>779.06</v>
      </c>
    </row>
    <row r="256" spans="2:16" s="8" customFormat="1" ht="34.9" hidden="1" customHeight="1">
      <c r="B256" s="15">
        <v>45139</v>
      </c>
      <c r="C256" s="11">
        <v>2602.8000000000002</v>
      </c>
      <c r="D256" s="10">
        <v>3973.48</v>
      </c>
      <c r="E256" s="10">
        <v>1747.91</v>
      </c>
      <c r="F256" s="10">
        <v>1168.52</v>
      </c>
      <c r="G256" s="10">
        <v>1543.63</v>
      </c>
      <c r="H256" s="11">
        <v>1711.36</v>
      </c>
      <c r="I256" s="10">
        <v>1166.5899999999999</v>
      </c>
      <c r="J256" s="10">
        <v>2455.94</v>
      </c>
      <c r="K256" s="10">
        <v>884.09</v>
      </c>
      <c r="L256" s="10">
        <v>305.73</v>
      </c>
      <c r="M256" s="10">
        <v>653.88</v>
      </c>
      <c r="N256" s="10">
        <v>50.15</v>
      </c>
      <c r="O256" s="10">
        <v>6567.81</v>
      </c>
      <c r="P256" s="10">
        <v>767.49</v>
      </c>
    </row>
    <row r="257" spans="2:16" s="8" customFormat="1" ht="34.9" hidden="1" customHeight="1">
      <c r="B257" s="14">
        <v>45170</v>
      </c>
      <c r="C257" s="7">
        <v>2633.92</v>
      </c>
      <c r="D257" s="6">
        <v>4005.33</v>
      </c>
      <c r="E257" s="6">
        <v>1766.77</v>
      </c>
      <c r="F257" s="6">
        <v>1231.51</v>
      </c>
      <c r="G257" s="6">
        <v>1609.14</v>
      </c>
      <c r="H257" s="7">
        <v>1698.67</v>
      </c>
      <c r="I257" s="6">
        <v>1204.77</v>
      </c>
      <c r="J257" s="6">
        <v>2457.7199999999998</v>
      </c>
      <c r="K257" s="6">
        <v>900.56</v>
      </c>
      <c r="L257" s="6">
        <v>313.26</v>
      </c>
      <c r="M257" s="6">
        <v>661.35</v>
      </c>
      <c r="N257" s="6">
        <v>50.15</v>
      </c>
      <c r="O257" s="6">
        <v>6421.63</v>
      </c>
      <c r="P257" s="6">
        <v>770.41</v>
      </c>
    </row>
    <row r="258" spans="2:16" s="8" customFormat="1" ht="34.9" hidden="1" customHeight="1">
      <c r="B258" s="15">
        <v>45200</v>
      </c>
      <c r="C258" s="11">
        <v>2678.59</v>
      </c>
      <c r="D258" s="10">
        <v>4074.93</v>
      </c>
      <c r="E258" s="10">
        <v>1784.1</v>
      </c>
      <c r="F258" s="10">
        <v>1290.1300000000001</v>
      </c>
      <c r="G258" s="10">
        <v>1587.3</v>
      </c>
      <c r="H258" s="11">
        <v>1661.8</v>
      </c>
      <c r="I258" s="10">
        <v>1204.77</v>
      </c>
      <c r="J258" s="10">
        <v>2362.89</v>
      </c>
      <c r="K258" s="10">
        <v>827.16</v>
      </c>
      <c r="L258" s="10">
        <v>301.42</v>
      </c>
      <c r="M258" s="10">
        <v>651.57000000000005</v>
      </c>
      <c r="N258" s="10">
        <v>50.15</v>
      </c>
      <c r="O258" s="10">
        <v>6355.84</v>
      </c>
      <c r="P258" s="10">
        <v>767.25</v>
      </c>
    </row>
    <row r="259" spans="2:16" s="8" customFormat="1" ht="34.5" hidden="1" customHeight="1">
      <c r="B259" s="14">
        <v>45231</v>
      </c>
      <c r="C259" s="7">
        <v>2680.26</v>
      </c>
      <c r="D259" s="6">
        <v>4080.27</v>
      </c>
      <c r="E259" s="6">
        <v>1825.18</v>
      </c>
      <c r="F259" s="6">
        <v>1240.54</v>
      </c>
      <c r="G259" s="6">
        <v>1611.53</v>
      </c>
      <c r="H259" s="7">
        <v>1646.46</v>
      </c>
      <c r="I259" s="6">
        <v>1204.77</v>
      </c>
      <c r="J259" s="6">
        <v>2373.86</v>
      </c>
      <c r="K259" s="6">
        <v>807.31</v>
      </c>
      <c r="L259" s="6">
        <v>295.11</v>
      </c>
      <c r="M259" s="6">
        <v>677.6</v>
      </c>
      <c r="N259" s="6">
        <v>50.15</v>
      </c>
      <c r="O259" s="6">
        <v>6246.06</v>
      </c>
      <c r="P259" s="6">
        <v>755.58</v>
      </c>
    </row>
    <row r="260" spans="2:16" s="8" customFormat="1" ht="34.9" hidden="1" customHeight="1">
      <c r="B260" s="60">
        <v>45261</v>
      </c>
      <c r="C260" s="62">
        <v>2728.97</v>
      </c>
      <c r="D260" s="61">
        <v>4152.92</v>
      </c>
      <c r="E260" s="61">
        <v>1820.31</v>
      </c>
      <c r="F260" s="61">
        <v>1265.23</v>
      </c>
      <c r="G260" s="61">
        <v>1666.93</v>
      </c>
      <c r="H260" s="62">
        <v>1644.03</v>
      </c>
      <c r="I260" s="61">
        <v>1161.1400000000001</v>
      </c>
      <c r="J260" s="61">
        <v>2387.17</v>
      </c>
      <c r="K260" s="61">
        <v>797.13</v>
      </c>
      <c r="L260" s="61">
        <v>298.2</v>
      </c>
      <c r="M260" s="61">
        <v>682.58</v>
      </c>
      <c r="N260" s="61">
        <v>50.15</v>
      </c>
      <c r="O260" s="61">
        <v>6226.58</v>
      </c>
      <c r="P260" s="61">
        <v>757.34</v>
      </c>
    </row>
    <row r="261" spans="2:16" s="8" customFormat="1" ht="34.9" hidden="1" customHeight="1">
      <c r="B261" s="3">
        <v>2024</v>
      </c>
      <c r="C261" s="13"/>
      <c r="D261" s="12"/>
      <c r="E261" s="12"/>
      <c r="F261" s="12"/>
      <c r="G261" s="12"/>
      <c r="H261" s="13"/>
      <c r="I261" s="12"/>
      <c r="J261" s="12"/>
      <c r="K261" s="12"/>
      <c r="L261" s="12"/>
      <c r="M261" s="12"/>
      <c r="N261" s="12"/>
      <c r="O261" s="12"/>
      <c r="P261" s="12"/>
    </row>
    <row r="262" spans="2:16" s="8" customFormat="1" ht="34.9" hidden="1" customHeight="1">
      <c r="B262" s="14">
        <v>45292</v>
      </c>
      <c r="C262" s="7">
        <v>2747.44</v>
      </c>
      <c r="D262" s="6">
        <v>4186.79</v>
      </c>
      <c r="E262" s="6">
        <v>1826.59</v>
      </c>
      <c r="F262" s="6">
        <v>1246.1300000000001</v>
      </c>
      <c r="G262" s="6">
        <v>1678.95</v>
      </c>
      <c r="H262" s="7">
        <v>1712.24</v>
      </c>
      <c r="I262" s="6">
        <v>1124.78</v>
      </c>
      <c r="J262" s="6">
        <v>2418.27</v>
      </c>
      <c r="K262" s="6">
        <v>804.98</v>
      </c>
      <c r="L262" s="6">
        <v>313.23</v>
      </c>
      <c r="M262" s="6">
        <v>719.49</v>
      </c>
      <c r="N262" s="6">
        <v>50.15</v>
      </c>
      <c r="O262" s="6">
        <v>6604.88</v>
      </c>
      <c r="P262" s="6">
        <v>740.75</v>
      </c>
    </row>
    <row r="263" spans="2:16" s="8" customFormat="1" ht="34.9" hidden="1" customHeight="1">
      <c r="B263" s="15">
        <v>45323</v>
      </c>
      <c r="C263" s="11">
        <v>2714.36</v>
      </c>
      <c r="D263" s="10">
        <v>4135.46</v>
      </c>
      <c r="E263" s="10">
        <v>1843.6</v>
      </c>
      <c r="F263" s="10">
        <v>1230.1199999999999</v>
      </c>
      <c r="G263" s="10">
        <v>1645.2</v>
      </c>
      <c r="H263" s="11">
        <v>1702.39</v>
      </c>
      <c r="I263" s="10">
        <v>1107.2</v>
      </c>
      <c r="J263" s="10">
        <v>2398.4699999999998</v>
      </c>
      <c r="K263" s="10">
        <v>781.25</v>
      </c>
      <c r="L263" s="10">
        <v>298.43</v>
      </c>
      <c r="M263" s="10">
        <v>729.83</v>
      </c>
      <c r="N263" s="10">
        <v>50.15</v>
      </c>
      <c r="O263" s="10">
        <v>6585.66</v>
      </c>
      <c r="P263" s="10">
        <v>746.17</v>
      </c>
    </row>
    <row r="264" spans="2:16" s="8" customFormat="1" ht="34.5" hidden="1" customHeight="1">
      <c r="B264" s="14">
        <v>45352</v>
      </c>
      <c r="C264" s="7">
        <v>2647.15</v>
      </c>
      <c r="D264" s="6">
        <v>4028.9</v>
      </c>
      <c r="E264" s="6">
        <v>1868.39</v>
      </c>
      <c r="F264" s="6">
        <v>1192.9000000000001</v>
      </c>
      <c r="G264" s="6">
        <v>1602.82</v>
      </c>
      <c r="H264" s="7">
        <v>1749.21</v>
      </c>
      <c r="I264" s="6">
        <v>1134.47</v>
      </c>
      <c r="J264" s="6">
        <v>2379.65</v>
      </c>
      <c r="K264" s="6">
        <v>776.46</v>
      </c>
      <c r="L264" s="6">
        <v>292.89999999999998</v>
      </c>
      <c r="M264" s="6">
        <v>737.21</v>
      </c>
      <c r="N264" s="6">
        <v>50.15</v>
      </c>
      <c r="O264" s="6">
        <v>6926.48</v>
      </c>
      <c r="P264" s="6">
        <v>732.29</v>
      </c>
    </row>
    <row r="265" spans="2:16" s="8" customFormat="1" ht="34.9" hidden="1" customHeight="1">
      <c r="B265" s="15">
        <v>45383</v>
      </c>
      <c r="C265" s="11">
        <v>2613.0700000000002</v>
      </c>
      <c r="D265" s="10">
        <v>3981.12</v>
      </c>
      <c r="E265" s="10">
        <v>1895.11</v>
      </c>
      <c r="F265" s="10">
        <v>1159.72</v>
      </c>
      <c r="G265" s="10">
        <v>1550.39</v>
      </c>
      <c r="H265" s="11">
        <v>1649.93</v>
      </c>
      <c r="I265" s="10">
        <v>1156.29</v>
      </c>
      <c r="J265" s="10">
        <v>2413.9</v>
      </c>
      <c r="K265" s="10">
        <v>763.49</v>
      </c>
      <c r="L265" s="10">
        <v>295.72000000000003</v>
      </c>
      <c r="M265" s="10">
        <v>724.3</v>
      </c>
      <c r="N265" s="10">
        <v>50.15</v>
      </c>
      <c r="O265" s="10">
        <v>6271.07</v>
      </c>
      <c r="P265" s="10">
        <v>697.29</v>
      </c>
    </row>
    <row r="266" spans="2:16" s="8" customFormat="1" ht="34.9" hidden="1" customHeight="1">
      <c r="B266" s="14">
        <v>45413</v>
      </c>
      <c r="C266" s="7">
        <v>2632.95</v>
      </c>
      <c r="D266" s="6">
        <v>4004.18</v>
      </c>
      <c r="E266" s="6">
        <v>1919.2</v>
      </c>
      <c r="F266" s="6">
        <v>1186.8</v>
      </c>
      <c r="G266" s="6">
        <v>1581.94</v>
      </c>
      <c r="H266" s="7">
        <v>1679.39</v>
      </c>
      <c r="I266" s="6">
        <v>1103.57</v>
      </c>
      <c r="J266" s="6">
        <v>2315.92</v>
      </c>
      <c r="K266" s="6">
        <v>773.98</v>
      </c>
      <c r="L266" s="6">
        <v>292.18</v>
      </c>
      <c r="M266" s="6">
        <v>757.51</v>
      </c>
      <c r="N266" s="6">
        <v>50.15</v>
      </c>
      <c r="O266" s="6">
        <v>6499.82</v>
      </c>
      <c r="P266" s="6">
        <v>699.9</v>
      </c>
    </row>
    <row r="267" spans="2:16" s="8" customFormat="1" ht="34.5" hidden="1" customHeight="1">
      <c r="B267" s="15">
        <v>45445</v>
      </c>
      <c r="C267" s="11">
        <v>2602.5500000000002</v>
      </c>
      <c r="D267" s="10">
        <v>3954.65</v>
      </c>
      <c r="E267" s="10">
        <v>1945.64</v>
      </c>
      <c r="F267" s="10">
        <v>1171.2</v>
      </c>
      <c r="G267" s="10">
        <v>1562.32</v>
      </c>
      <c r="H267" s="11">
        <v>1697.4</v>
      </c>
      <c r="I267" s="10">
        <v>1102.3499999999999</v>
      </c>
      <c r="J267" s="10">
        <v>2318.2800000000002</v>
      </c>
      <c r="K267" s="10">
        <v>727.59</v>
      </c>
      <c r="L267" s="10">
        <v>290.17</v>
      </c>
      <c r="M267" s="10">
        <v>766.74</v>
      </c>
      <c r="N267" s="10">
        <v>50.15</v>
      </c>
      <c r="O267" s="10">
        <v>6642.91</v>
      </c>
      <c r="P267" s="10">
        <v>722.48</v>
      </c>
    </row>
    <row r="268" spans="2:16" s="8" customFormat="1" ht="34.9" hidden="1" customHeight="1">
      <c r="B268" s="14">
        <v>45474</v>
      </c>
      <c r="C268" s="7">
        <v>2623.48</v>
      </c>
      <c r="D268" s="6">
        <v>3990.74</v>
      </c>
      <c r="E268" s="6">
        <v>1924.75</v>
      </c>
      <c r="F268" s="6">
        <v>1174.25</v>
      </c>
      <c r="G268" s="6">
        <v>1573.17</v>
      </c>
      <c r="H268" s="7">
        <v>1685.67</v>
      </c>
      <c r="I268" s="6">
        <v>1062.3599999999999</v>
      </c>
      <c r="J268" s="6">
        <v>2404.3000000000002</v>
      </c>
      <c r="K268" s="6">
        <v>693.19</v>
      </c>
      <c r="L268" s="6">
        <v>282.75</v>
      </c>
      <c r="M268" s="6">
        <v>766.37</v>
      </c>
      <c r="N268" s="6">
        <v>50.15</v>
      </c>
      <c r="O268" s="6">
        <v>6571.6</v>
      </c>
      <c r="P268" s="6">
        <v>711.9</v>
      </c>
    </row>
    <row r="269" spans="2:16" s="8" customFormat="1" ht="34.5" hidden="1" customHeight="1">
      <c r="B269" s="15">
        <v>45506</v>
      </c>
      <c r="C269" s="11">
        <v>2616.9</v>
      </c>
      <c r="D269" s="10">
        <v>3989.05</v>
      </c>
      <c r="E269" s="10">
        <v>1901.28</v>
      </c>
      <c r="F269" s="10">
        <v>1145.94</v>
      </c>
      <c r="G269" s="10">
        <v>1555.64</v>
      </c>
      <c r="H269" s="11">
        <v>1683.46</v>
      </c>
      <c r="I269" s="10">
        <v>1074.48</v>
      </c>
      <c r="J269" s="10">
        <v>2401.0500000000002</v>
      </c>
      <c r="K269" s="10">
        <v>685.67</v>
      </c>
      <c r="L269" s="10">
        <v>267.16000000000003</v>
      </c>
      <c r="M269" s="10">
        <v>778.19</v>
      </c>
      <c r="N269" s="10">
        <v>50.15</v>
      </c>
      <c r="O269" s="10">
        <v>6561.39</v>
      </c>
      <c r="P269" s="10">
        <v>722.84</v>
      </c>
    </row>
    <row r="270" spans="2:16" s="8" customFormat="1" ht="34.9" hidden="1" customHeight="1">
      <c r="B270" s="14">
        <v>45538</v>
      </c>
      <c r="C270" s="7">
        <v>2592.4</v>
      </c>
      <c r="D270" s="6">
        <v>3941.34</v>
      </c>
      <c r="E270" s="6">
        <v>1937.42</v>
      </c>
      <c r="F270" s="6">
        <v>1175.93</v>
      </c>
      <c r="G270" s="6">
        <v>1528.24</v>
      </c>
      <c r="H270" s="7">
        <v>1640.08</v>
      </c>
      <c r="I270" s="6">
        <v>1022.96</v>
      </c>
      <c r="J270" s="6">
        <v>2310.2800000000002</v>
      </c>
      <c r="K270" s="6">
        <v>698.29</v>
      </c>
      <c r="L270" s="6">
        <v>257.77</v>
      </c>
      <c r="M270" s="6">
        <v>754.57</v>
      </c>
      <c r="N270" s="6">
        <v>50.15</v>
      </c>
      <c r="O270" s="6">
        <v>6404.42</v>
      </c>
      <c r="P270" s="6">
        <v>693.39</v>
      </c>
    </row>
    <row r="271" spans="2:16" s="8" customFormat="1" ht="34.5" hidden="1" customHeight="1">
      <c r="B271" s="15">
        <v>45570</v>
      </c>
      <c r="C271" s="11">
        <v>2601.85</v>
      </c>
      <c r="D271" s="10">
        <v>3950.01</v>
      </c>
      <c r="E271" s="10">
        <v>1989.57</v>
      </c>
      <c r="F271" s="10">
        <v>1169.77</v>
      </c>
      <c r="G271" s="10">
        <v>1564.65</v>
      </c>
      <c r="H271" s="11">
        <v>1668.72</v>
      </c>
      <c r="I271" s="10">
        <v>1022.36</v>
      </c>
      <c r="J271" s="10">
        <v>2370</v>
      </c>
      <c r="K271" s="10">
        <v>700.92</v>
      </c>
      <c r="L271" s="10">
        <v>269.66000000000003</v>
      </c>
      <c r="M271" s="10">
        <v>772.29</v>
      </c>
      <c r="N271" s="10">
        <v>50.15</v>
      </c>
      <c r="O271" s="10">
        <v>6538.6</v>
      </c>
      <c r="P271" s="10">
        <v>663.21</v>
      </c>
    </row>
    <row r="272" spans="2:16" s="8" customFormat="1" ht="34.9" hidden="1" customHeight="1">
      <c r="B272" s="14">
        <v>45599</v>
      </c>
      <c r="C272" s="7">
        <v>2596.8000000000002</v>
      </c>
      <c r="D272" s="6">
        <v>3932.17</v>
      </c>
      <c r="E272" s="6">
        <v>2007.62</v>
      </c>
      <c r="F272" s="6">
        <v>1160.67</v>
      </c>
      <c r="G272" s="6">
        <v>1634.3</v>
      </c>
      <c r="H272" s="7">
        <v>1655.97</v>
      </c>
      <c r="I272" s="6">
        <v>996.3</v>
      </c>
      <c r="J272" s="6">
        <v>2371.08</v>
      </c>
      <c r="K272" s="6">
        <v>685.93</v>
      </c>
      <c r="L272" s="6">
        <v>262.77999999999997</v>
      </c>
      <c r="M272" s="6">
        <v>763.8</v>
      </c>
      <c r="N272" s="6">
        <v>50.15</v>
      </c>
      <c r="O272" s="6">
        <v>6500.35</v>
      </c>
      <c r="P272" s="6">
        <v>658.83</v>
      </c>
    </row>
    <row r="273" spans="2:16" s="8" customFormat="1" ht="34.5" hidden="1" customHeight="1">
      <c r="B273" s="60">
        <v>45628</v>
      </c>
      <c r="C273" s="62">
        <v>2650.97</v>
      </c>
      <c r="D273" s="61">
        <v>4033.33</v>
      </c>
      <c r="E273" s="61">
        <v>1990.1</v>
      </c>
      <c r="F273" s="61">
        <v>1147.8399999999999</v>
      </c>
      <c r="G273" s="61">
        <v>1608.44</v>
      </c>
      <c r="H273" s="62">
        <v>1693.32</v>
      </c>
      <c r="I273" s="61">
        <v>1038.72</v>
      </c>
      <c r="J273" s="61">
        <v>2407.64</v>
      </c>
      <c r="K273" s="61">
        <v>718.79</v>
      </c>
      <c r="L273" s="61">
        <v>259.76</v>
      </c>
      <c r="M273" s="61">
        <v>755.32</v>
      </c>
      <c r="N273" s="61">
        <v>50.15</v>
      </c>
      <c r="O273" s="61">
        <v>6681.77</v>
      </c>
      <c r="P273" s="61">
        <v>680.15</v>
      </c>
    </row>
    <row r="274" spans="2:16" s="8" customFormat="1" ht="34.5" customHeight="1">
      <c r="B274" s="3">
        <v>2025</v>
      </c>
      <c r="C274" s="13"/>
      <c r="D274" s="12"/>
      <c r="E274" s="12"/>
      <c r="F274" s="12"/>
      <c r="G274" s="12"/>
      <c r="H274" s="13"/>
      <c r="I274" s="12"/>
      <c r="J274" s="12"/>
      <c r="K274" s="12"/>
      <c r="L274" s="12"/>
      <c r="M274" s="12"/>
      <c r="N274" s="12"/>
      <c r="O274" s="12"/>
      <c r="P274" s="12"/>
    </row>
    <row r="275" spans="2:16" s="8" customFormat="1" ht="34.5" hidden="1" customHeight="1">
      <c r="B275" s="14">
        <v>45658</v>
      </c>
      <c r="C275" s="7">
        <v>2752.6</v>
      </c>
      <c r="D275" s="6">
        <v>4211.3</v>
      </c>
      <c r="E275" s="6">
        <v>1987.3</v>
      </c>
      <c r="F275" s="6">
        <v>1130.2</v>
      </c>
      <c r="G275" s="6">
        <v>1627.5</v>
      </c>
      <c r="H275" s="7">
        <v>1767.6</v>
      </c>
      <c r="I275" s="6">
        <v>1040.5</v>
      </c>
      <c r="J275" s="6">
        <v>2513.4</v>
      </c>
      <c r="K275" s="6">
        <v>728.7</v>
      </c>
      <c r="L275" s="6">
        <v>273.8</v>
      </c>
      <c r="M275" s="6">
        <v>802.6</v>
      </c>
      <c r="N275" s="6">
        <v>50.2</v>
      </c>
      <c r="O275" s="6">
        <v>7040.6</v>
      </c>
      <c r="P275" s="6">
        <v>649.29999999999995</v>
      </c>
    </row>
    <row r="276" spans="2:16" s="8" customFormat="1" ht="34.9" hidden="1" customHeight="1">
      <c r="B276" s="15">
        <v>45689</v>
      </c>
      <c r="C276" s="11">
        <v>2731.6</v>
      </c>
      <c r="D276" s="10">
        <v>4182.46</v>
      </c>
      <c r="E276" s="10">
        <v>2010.79</v>
      </c>
      <c r="F276" s="10">
        <v>1102.1400000000001</v>
      </c>
      <c r="G276" s="10">
        <v>1598.86</v>
      </c>
      <c r="H276" s="11">
        <v>1768.02</v>
      </c>
      <c r="I276" s="10">
        <v>1005.39</v>
      </c>
      <c r="J276" s="10">
        <v>2565.98</v>
      </c>
      <c r="K276" s="10">
        <v>702.57</v>
      </c>
      <c r="L276" s="10">
        <v>266.08999999999997</v>
      </c>
      <c r="M276" s="10">
        <v>816.94</v>
      </c>
      <c r="N276" s="10">
        <v>50.15</v>
      </c>
      <c r="O276" s="10">
        <v>7026.09</v>
      </c>
      <c r="P276" s="10">
        <v>657.44</v>
      </c>
    </row>
    <row r="277" spans="2:16" s="8" customFormat="1" ht="34.9" hidden="1" customHeight="1">
      <c r="B277" s="14">
        <v>45717</v>
      </c>
      <c r="C277" s="7">
        <v>2737.28</v>
      </c>
      <c r="D277" s="6">
        <v>4188.84</v>
      </c>
      <c r="E277" s="6">
        <v>2075.89</v>
      </c>
      <c r="F277" s="6">
        <v>1092.1600000000001</v>
      </c>
      <c r="G277" s="6">
        <v>1603.49</v>
      </c>
      <c r="H277" s="7">
        <v>1788.53</v>
      </c>
      <c r="I277" s="6">
        <v>983.57</v>
      </c>
      <c r="J277" s="6">
        <v>2518.7600000000002</v>
      </c>
      <c r="K277" s="6">
        <v>691.12</v>
      </c>
      <c r="L277" s="6">
        <v>270.42</v>
      </c>
      <c r="M277" s="6">
        <v>810.67</v>
      </c>
      <c r="N277" s="6">
        <v>50.15</v>
      </c>
      <c r="O277" s="6">
        <v>7245.71</v>
      </c>
      <c r="P277" s="6">
        <v>627.70000000000005</v>
      </c>
    </row>
    <row r="278" spans="2:16" s="8" customFormat="1" ht="34.9" hidden="1" customHeight="1">
      <c r="B278" s="15">
        <v>45748</v>
      </c>
      <c r="C278" s="11">
        <v>2634.26</v>
      </c>
      <c r="D278" s="10">
        <v>4016.86</v>
      </c>
      <c r="E278" s="10">
        <v>2057.63</v>
      </c>
      <c r="F278" s="10">
        <v>1079.56</v>
      </c>
      <c r="G278" s="10">
        <v>1576.24</v>
      </c>
      <c r="H278" s="11">
        <v>1670.18</v>
      </c>
      <c r="I278" s="10">
        <v>968.42</v>
      </c>
      <c r="J278" s="10">
        <v>2403.3200000000002</v>
      </c>
      <c r="K278" s="10">
        <v>694.96</v>
      </c>
      <c r="L278" s="10">
        <v>269.97000000000003</v>
      </c>
      <c r="M278" s="10">
        <v>810.3</v>
      </c>
      <c r="N278" s="10">
        <v>50.15</v>
      </c>
      <c r="O278" s="10">
        <v>6515.82</v>
      </c>
      <c r="P278" s="10">
        <v>614.57000000000005</v>
      </c>
    </row>
    <row r="279" spans="2:16" s="8" customFormat="1" ht="34.9" hidden="1" customHeight="1">
      <c r="B279" s="14">
        <v>45778</v>
      </c>
      <c r="C279" s="7">
        <v>2807.49</v>
      </c>
      <c r="D279" s="6">
        <v>4298.54</v>
      </c>
      <c r="E279" s="6">
        <v>2087.16</v>
      </c>
      <c r="F279" s="6">
        <v>1118.99</v>
      </c>
      <c r="G279" s="6">
        <v>1634.92</v>
      </c>
      <c r="H279" s="7">
        <v>1742.59</v>
      </c>
      <c r="I279" s="6">
        <v>949.64</v>
      </c>
      <c r="J279" s="6">
        <v>2517.98</v>
      </c>
      <c r="K279" s="6">
        <v>708.99</v>
      </c>
      <c r="L279" s="6">
        <v>294.91000000000003</v>
      </c>
      <c r="M279" s="6">
        <v>764.17</v>
      </c>
      <c r="N279" s="6">
        <v>50.15</v>
      </c>
      <c r="O279" s="6">
        <v>6906.52</v>
      </c>
      <c r="P279" s="6">
        <v>661.27</v>
      </c>
    </row>
    <row r="280" spans="2:16" s="8" customFormat="1" ht="34.9" hidden="1" customHeight="1">
      <c r="B280" s="15">
        <v>45810</v>
      </c>
      <c r="C280" s="11">
        <v>2867.82</v>
      </c>
      <c r="D280" s="10">
        <v>4393.92</v>
      </c>
      <c r="E280" s="10">
        <v>2131.04</v>
      </c>
      <c r="F280" s="10">
        <v>1139.5999999999999</v>
      </c>
      <c r="G280" s="10">
        <v>1654.24</v>
      </c>
      <c r="H280" s="11">
        <v>1813.09</v>
      </c>
      <c r="I280" s="10">
        <v>946</v>
      </c>
      <c r="J280" s="10">
        <v>2503.9699999999998</v>
      </c>
      <c r="K280" s="10">
        <v>700.19</v>
      </c>
      <c r="L280" s="10">
        <v>300.81</v>
      </c>
      <c r="M280" s="10">
        <v>766.02</v>
      </c>
      <c r="N280" s="10">
        <v>50.15</v>
      </c>
      <c r="O280" s="10">
        <v>7379.57</v>
      </c>
      <c r="P280" s="10">
        <v>689.37</v>
      </c>
    </row>
    <row r="281" spans="2:16" s="8" customFormat="1" ht="34.9" hidden="1" customHeight="1">
      <c r="B281" s="14">
        <v>45863</v>
      </c>
      <c r="C281" s="7">
        <v>3008.89</v>
      </c>
      <c r="D281" s="6">
        <v>4600.96</v>
      </c>
      <c r="E281" s="6">
        <v>2104.6999999999998</v>
      </c>
      <c r="F281" s="6">
        <v>1138.5999999999999</v>
      </c>
      <c r="G281" s="6">
        <v>1943.72</v>
      </c>
      <c r="H281" s="7">
        <v>1835.54</v>
      </c>
      <c r="I281" s="6">
        <v>995.09</v>
      </c>
      <c r="J281" s="6">
        <v>2659.04</v>
      </c>
      <c r="K281" s="6">
        <v>695.03</v>
      </c>
      <c r="L281" s="6">
        <v>305.64999999999998</v>
      </c>
      <c r="M281" s="6">
        <v>769.34</v>
      </c>
      <c r="N281" s="6">
        <v>50.15</v>
      </c>
      <c r="O281" s="6">
        <v>7420.11</v>
      </c>
      <c r="P281" s="6">
        <v>677.73</v>
      </c>
    </row>
    <row r="282" spans="2:16" s="8" customFormat="1" ht="34.5" hidden="1" customHeight="1">
      <c r="B282" s="15">
        <v>45894</v>
      </c>
      <c r="C282" s="11">
        <v>3072.71</v>
      </c>
      <c r="D282" s="10">
        <v>4700.83</v>
      </c>
      <c r="E282" s="10">
        <v>2165.98</v>
      </c>
      <c r="F282" s="10">
        <v>1123.1300000000001</v>
      </c>
      <c r="G282" s="10">
        <v>2014.86</v>
      </c>
      <c r="H282" s="11">
        <v>1852.41</v>
      </c>
      <c r="I282" s="10">
        <v>985.39</v>
      </c>
      <c r="J282" s="10">
        <v>2645.89</v>
      </c>
      <c r="K282" s="10">
        <v>705.96</v>
      </c>
      <c r="L282" s="10">
        <v>323.37</v>
      </c>
      <c r="M282" s="10">
        <v>777.45</v>
      </c>
      <c r="N282" s="10">
        <v>50.15</v>
      </c>
      <c r="O282" s="10">
        <v>7496.05</v>
      </c>
      <c r="P282" s="10">
        <v>676.2</v>
      </c>
    </row>
    <row r="283" spans="2:16" s="8" customFormat="1" ht="34.9" customHeight="1">
      <c r="B283" s="14">
        <v>45925</v>
      </c>
      <c r="C283" s="7">
        <v>3084.83</v>
      </c>
      <c r="D283" s="6">
        <v>4721.43</v>
      </c>
      <c r="E283" s="6">
        <v>2206.23</v>
      </c>
      <c r="F283" s="6">
        <v>1112.47</v>
      </c>
      <c r="G283" s="6">
        <v>2010.8</v>
      </c>
      <c r="H283" s="7">
        <v>1933.83</v>
      </c>
      <c r="I283" s="6">
        <v>973.88</v>
      </c>
      <c r="J283" s="6">
        <v>2638.98</v>
      </c>
      <c r="K283" s="6">
        <v>712.96</v>
      </c>
      <c r="L283" s="6">
        <v>323.48</v>
      </c>
      <c r="M283" s="6">
        <v>789.63</v>
      </c>
      <c r="N283" s="6">
        <v>50.15</v>
      </c>
      <c r="O283" s="6">
        <v>8040.29</v>
      </c>
      <c r="P283" s="6">
        <v>671.76</v>
      </c>
    </row>
    <row r="284" spans="2:16" s="8" customFormat="1" ht="34.9" customHeight="1">
      <c r="B284" s="15">
        <v>45955</v>
      </c>
      <c r="C284" s="11">
        <v>3472.83</v>
      </c>
      <c r="D284" s="10">
        <v>5384.04</v>
      </c>
      <c r="E284" s="10">
        <v>2268.15</v>
      </c>
      <c r="F284" s="10">
        <v>1114.3</v>
      </c>
      <c r="G284" s="10">
        <v>2065.39</v>
      </c>
      <c r="H284" s="11">
        <v>1980.93</v>
      </c>
      <c r="I284" s="10">
        <v>982.36</v>
      </c>
      <c r="J284" s="10">
        <v>2700.8</v>
      </c>
      <c r="K284" s="10">
        <v>740.8</v>
      </c>
      <c r="L284" s="10">
        <v>339.29</v>
      </c>
      <c r="M284" s="10">
        <v>805.87</v>
      </c>
      <c r="N284" s="10">
        <v>50.15</v>
      </c>
      <c r="O284" s="10">
        <v>8227.7800000000007</v>
      </c>
      <c r="P284" s="10">
        <v>681.16</v>
      </c>
    </row>
    <row r="285" spans="2:16" s="8" customFormat="1" ht="34.9" customHeight="1">
      <c r="B285" s="14">
        <v>45986</v>
      </c>
      <c r="C285" s="7">
        <v>3599.08</v>
      </c>
      <c r="D285" s="6">
        <v>5589.11</v>
      </c>
      <c r="E285" s="6">
        <v>2374.94</v>
      </c>
      <c r="F285" s="6">
        <v>1142.74</v>
      </c>
      <c r="G285" s="6">
        <v>2075.5300000000002</v>
      </c>
      <c r="H285" s="7">
        <v>2049.7399999999998</v>
      </c>
      <c r="I285" s="6">
        <v>1006.6</v>
      </c>
      <c r="J285" s="6">
        <v>2794.95</v>
      </c>
      <c r="K285" s="6">
        <v>768.9</v>
      </c>
      <c r="L285" s="6">
        <v>352.39</v>
      </c>
      <c r="M285" s="6">
        <v>818.05</v>
      </c>
      <c r="N285" s="6">
        <v>50.15</v>
      </c>
      <c r="O285" s="6">
        <v>8559.48</v>
      </c>
      <c r="P285" s="6">
        <v>676.92</v>
      </c>
    </row>
    <row r="286" spans="2:16" s="8" customFormat="1" ht="34.9" customHeight="1">
      <c r="B286" s="60">
        <v>46016</v>
      </c>
      <c r="C286" s="62">
        <v>3775.55</v>
      </c>
      <c r="D286" s="61">
        <v>5877.2</v>
      </c>
      <c r="E286" s="61">
        <v>2341.0100000000002</v>
      </c>
      <c r="F286" s="61">
        <v>1186.95</v>
      </c>
      <c r="G286" s="61">
        <v>2174.11</v>
      </c>
      <c r="H286" s="62">
        <v>2172.31</v>
      </c>
      <c r="I286" s="61">
        <v>1069.6300000000001</v>
      </c>
      <c r="J286" s="61">
        <v>2991.15</v>
      </c>
      <c r="K286" s="61">
        <v>776.76</v>
      </c>
      <c r="L286" s="61">
        <v>394.31</v>
      </c>
      <c r="M286" s="61">
        <v>823.58</v>
      </c>
      <c r="N286" s="61">
        <v>50.15</v>
      </c>
      <c r="O286" s="61">
        <v>9155.3700000000008</v>
      </c>
      <c r="P286" s="61">
        <v>686.83</v>
      </c>
    </row>
    <row r="287" spans="2:16" s="8" customFormat="1" ht="34.5" customHeight="1">
      <c r="B287" s="3">
        <v>2026</v>
      </c>
      <c r="C287" s="13"/>
      <c r="D287" s="12"/>
      <c r="E287" s="12"/>
      <c r="F287" s="12"/>
      <c r="G287" s="12"/>
      <c r="H287" s="13"/>
      <c r="I287" s="12"/>
      <c r="J287" s="12"/>
      <c r="K287" s="12"/>
      <c r="L287" s="12"/>
      <c r="M287" s="12"/>
      <c r="N287" s="12"/>
      <c r="O287" s="12"/>
      <c r="P287" s="12"/>
    </row>
    <row r="288" spans="2:16" s="8" customFormat="1" ht="34.5" customHeight="1">
      <c r="B288" s="14">
        <v>46023</v>
      </c>
      <c r="C288" s="7">
        <v>3671.24</v>
      </c>
      <c r="D288" s="6">
        <v>5702.57</v>
      </c>
      <c r="E288" s="6">
        <v>2362.92</v>
      </c>
      <c r="F288" s="6">
        <v>1165.72</v>
      </c>
      <c r="G288" s="6">
        <v>2139.6</v>
      </c>
      <c r="H288" s="7">
        <v>2117.9299999999998</v>
      </c>
      <c r="I288" s="6">
        <v>1032.6600000000001</v>
      </c>
      <c r="J288" s="6">
        <v>2955.86</v>
      </c>
      <c r="K288" s="6">
        <v>787.24</v>
      </c>
      <c r="L288" s="6">
        <v>380.23</v>
      </c>
      <c r="M288" s="6">
        <v>847.2</v>
      </c>
      <c r="N288" s="6">
        <v>50.15</v>
      </c>
      <c r="O288" s="6">
        <v>8813.76</v>
      </c>
      <c r="P288" s="6">
        <v>673.53</v>
      </c>
    </row>
    <row r="289" spans="2:16" s="8" customFormat="1" ht="34.5" customHeight="1">
      <c r="B289" s="15">
        <v>46054</v>
      </c>
      <c r="C289" s="11">
        <v>3618.85</v>
      </c>
      <c r="D289" s="10">
        <v>5628.29</v>
      </c>
      <c r="E289" s="10">
        <v>2344.4</v>
      </c>
      <c r="F289" s="10">
        <v>1131.81</v>
      </c>
      <c r="G289" s="10">
        <v>2073.75</v>
      </c>
      <c r="H289" s="11">
        <v>2260.3000000000002</v>
      </c>
      <c r="I289" s="10">
        <v>1022.96</v>
      </c>
      <c r="J289" s="10">
        <v>3137.7</v>
      </c>
      <c r="K289" s="10">
        <v>781.58</v>
      </c>
      <c r="L289" s="10">
        <v>380.11</v>
      </c>
      <c r="M289" s="10">
        <v>886.68</v>
      </c>
      <c r="N289" s="10">
        <v>50.15</v>
      </c>
      <c r="O289" s="10">
        <v>9613.0400000000009</v>
      </c>
      <c r="P289" s="10">
        <v>652.04</v>
      </c>
    </row>
    <row r="290" spans="2:16" s="8" customFormat="1" ht="34.5" customHeight="1">
      <c r="B290" s="14">
        <v>46082</v>
      </c>
      <c r="C290" s="7">
        <v>3583.93</v>
      </c>
      <c r="D290" s="6">
        <v>5571.46</v>
      </c>
      <c r="E290" s="6">
        <v>2468.0100000000002</v>
      </c>
      <c r="F290" s="6">
        <v>1084.03</v>
      </c>
      <c r="G290" s="6">
        <v>2046.11</v>
      </c>
      <c r="H290" s="7">
        <v>2305.58</v>
      </c>
      <c r="I290" s="6">
        <v>1021.15</v>
      </c>
      <c r="J290" s="6">
        <v>3249.67</v>
      </c>
      <c r="K290" s="6">
        <v>737.96</v>
      </c>
      <c r="L290" s="6">
        <v>373.61</v>
      </c>
      <c r="M290" s="6">
        <v>932.08</v>
      </c>
      <c r="N290" s="6">
        <v>50.15</v>
      </c>
      <c r="O290" s="6">
        <v>9803.33</v>
      </c>
      <c r="P290" s="6">
        <v>687.45</v>
      </c>
    </row>
    <row r="291" spans="2:16" s="8" customFormat="1" ht="34.5" customHeight="1">
      <c r="B291" s="15">
        <v>46113</v>
      </c>
      <c r="C291" s="11">
        <v>3792.28</v>
      </c>
      <c r="D291" s="10">
        <v>5903.07</v>
      </c>
      <c r="E291" s="10">
        <v>2541.35</v>
      </c>
      <c r="F291" s="10">
        <v>1157.33</v>
      </c>
      <c r="G291" s="10">
        <v>2131.67</v>
      </c>
      <c r="H291" s="11">
        <v>2641</v>
      </c>
      <c r="I291" s="10">
        <v>1017.51</v>
      </c>
      <c r="J291" s="10">
        <v>3248.27</v>
      </c>
      <c r="K291" s="10">
        <v>741.61</v>
      </c>
      <c r="L291" s="10">
        <v>380.22</v>
      </c>
      <c r="M291" s="10">
        <v>1167.8800000000001</v>
      </c>
      <c r="N291" s="10">
        <v>50.15</v>
      </c>
      <c r="O291" s="10">
        <v>11741.29</v>
      </c>
      <c r="P291" s="10">
        <v>663.97</v>
      </c>
    </row>
    <row r="292" spans="2:16" s="8" customFormat="1" ht="34.5" customHeight="1">
      <c r="B292" s="14">
        <v>46143</v>
      </c>
      <c r="C292" s="7">
        <v>3906.14</v>
      </c>
      <c r="D292" s="6">
        <v>6078.64</v>
      </c>
      <c r="E292" s="6">
        <v>2627.36</v>
      </c>
      <c r="F292" s="6">
        <v>1199.98</v>
      </c>
      <c r="G292" s="6">
        <v>2192.41</v>
      </c>
      <c r="H292" s="7">
        <v>2737.07</v>
      </c>
      <c r="I292" s="6">
        <v>1019.33</v>
      </c>
      <c r="J292" s="6">
        <v>3356.9</v>
      </c>
      <c r="K292" s="6">
        <v>738.71</v>
      </c>
      <c r="L292" s="6">
        <v>379.9</v>
      </c>
      <c r="M292" s="6">
        <v>999.97</v>
      </c>
      <c r="N292" s="6">
        <v>50.15</v>
      </c>
      <c r="O292" s="6">
        <v>12554.21</v>
      </c>
      <c r="P292" s="6">
        <v>672.17</v>
      </c>
    </row>
    <row r="293" spans="2:16" s="8" customFormat="1" ht="34.5" customHeight="1">
      <c r="B293" s="15">
        <v>46175</v>
      </c>
      <c r="C293" s="11">
        <v>3801.67</v>
      </c>
      <c r="D293" s="10">
        <v>5895.41</v>
      </c>
      <c r="E293" s="10">
        <v>2694.42</v>
      </c>
      <c r="F293" s="10">
        <v>1193.97</v>
      </c>
      <c r="G293" s="10">
        <v>2173.5300000000002</v>
      </c>
      <c r="H293" s="11">
        <v>2589.38</v>
      </c>
      <c r="I293" s="10">
        <v>1019.33</v>
      </c>
      <c r="J293" s="10">
        <v>3201.19</v>
      </c>
      <c r="K293" s="10">
        <v>761.85</v>
      </c>
      <c r="L293" s="10">
        <v>374.37</v>
      </c>
      <c r="M293" s="10">
        <v>978.94</v>
      </c>
      <c r="N293" s="10">
        <v>50.15</v>
      </c>
      <c r="O293" s="10">
        <v>11656.96</v>
      </c>
      <c r="P293" s="10">
        <v>691.24</v>
      </c>
    </row>
    <row r="294" spans="2:16" s="8" customFormat="1" ht="34.5" customHeight="1">
      <c r="B294" s="14">
        <v>46229</v>
      </c>
      <c r="C294" s="7">
        <v>3971.8</v>
      </c>
      <c r="D294" s="6">
        <v>6160.37</v>
      </c>
      <c r="E294" s="6">
        <v>2777.36</v>
      </c>
      <c r="F294" s="6">
        <v>1209.96</v>
      </c>
      <c r="G294" s="6">
        <v>2330.73</v>
      </c>
      <c r="H294" s="7">
        <v>2667.69</v>
      </c>
      <c r="I294" s="6">
        <v>1019.33</v>
      </c>
      <c r="J294" s="6">
        <v>3437.85</v>
      </c>
      <c r="K294" s="6">
        <v>749</v>
      </c>
      <c r="L294" s="6">
        <v>401.11</v>
      </c>
      <c r="M294" s="6">
        <v>1059.5999999999999</v>
      </c>
      <c r="N294" s="6">
        <v>50.15</v>
      </c>
      <c r="O294" s="6">
        <v>11824.62</v>
      </c>
      <c r="P294" s="6">
        <v>719.58</v>
      </c>
    </row>
    <row r="295" spans="2:16" s="8" customFormat="1" ht="34.5" customHeight="1">
      <c r="B295" s="15">
        <v>46252</v>
      </c>
      <c r="C295" s="11">
        <v>3884.93</v>
      </c>
      <c r="D295" s="10">
        <v>5981.36</v>
      </c>
      <c r="E295" s="10">
        <v>2886.31</v>
      </c>
      <c r="F295" s="10">
        <v>1240.55</v>
      </c>
      <c r="G295" s="10">
        <v>2429.15</v>
      </c>
      <c r="H295" s="11">
        <v>2711.19</v>
      </c>
      <c r="I295" s="10">
        <v>1010.1</v>
      </c>
      <c r="J295" s="10">
        <v>3634.26</v>
      </c>
      <c r="K295" s="10">
        <v>749.95</v>
      </c>
      <c r="L295" s="10">
        <v>437.34</v>
      </c>
      <c r="M295" s="10">
        <v>1056.28</v>
      </c>
      <c r="N295" s="10">
        <v>50.15</v>
      </c>
      <c r="O295" s="10">
        <v>11884.55</v>
      </c>
      <c r="P295" s="10">
        <v>750.5</v>
      </c>
    </row>
    <row r="296" spans="2:16" s="8" customFormat="1" ht="34.5" customHeight="1">
      <c r="B296" s="155">
        <v>46266</v>
      </c>
      <c r="C296" s="157">
        <v>4089.3</v>
      </c>
      <c r="D296" s="156">
        <v>6294.16</v>
      </c>
      <c r="E296" s="156">
        <v>3025.96</v>
      </c>
      <c r="F296" s="156">
        <v>1328.43</v>
      </c>
      <c r="G296" s="156">
        <v>2543.0700000000002</v>
      </c>
      <c r="H296" s="157">
        <v>2827.45</v>
      </c>
      <c r="I296" s="156">
        <v>996.27</v>
      </c>
      <c r="J296" s="156">
        <v>3741.05</v>
      </c>
      <c r="K296" s="156">
        <v>773.2</v>
      </c>
      <c r="L296" s="156">
        <v>457.66</v>
      </c>
      <c r="M296" s="156">
        <v>1075.6099999999999</v>
      </c>
      <c r="N296" s="156">
        <v>50.15</v>
      </c>
      <c r="O296" s="156">
        <v>12490.58</v>
      </c>
      <c r="P296" s="156">
        <v>797.24</v>
      </c>
    </row>
    <row r="297" spans="2:16" s="8" customFormat="1" ht="10.15" customHeight="1">
      <c r="B297" s="71"/>
      <c r="C297" s="73"/>
      <c r="D297" s="72"/>
      <c r="E297" s="72"/>
      <c r="F297" s="72"/>
      <c r="G297" s="72"/>
      <c r="H297" s="73"/>
      <c r="I297" s="72"/>
      <c r="J297" s="72"/>
      <c r="K297" s="72"/>
      <c r="L297" s="72"/>
      <c r="M297" s="72"/>
      <c r="N297" s="72"/>
      <c r="O297" s="72"/>
      <c r="P297" s="72"/>
    </row>
    <row r="298" spans="2:16" s="87" customFormat="1" ht="30" customHeight="1">
      <c r="B298" s="130" t="s">
        <v>67</v>
      </c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131" t="s">
        <v>93</v>
      </c>
    </row>
    <row r="299" spans="2:16" s="82" customFormat="1" ht="52.5" customHeight="1">
      <c r="B299" s="165" t="s">
        <v>148</v>
      </c>
      <c r="C299" s="165"/>
      <c r="D299" s="165"/>
      <c r="E299" s="165"/>
      <c r="F299" s="165"/>
      <c r="G299" s="165"/>
      <c r="H299" s="4"/>
      <c r="I299" s="4"/>
      <c r="J299" s="141"/>
      <c r="K299" s="178" t="s">
        <v>152</v>
      </c>
      <c r="L299" s="178"/>
      <c r="M299" s="178"/>
      <c r="N299" s="178"/>
      <c r="O299" s="178"/>
      <c r="P299" s="178"/>
    </row>
    <row r="300" spans="2:16" ht="15.7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82" spans="2:12"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</row>
  </sheetData>
  <sortState ref="B263:P266">
    <sortCondition descending="1" ref="B263"/>
  </sortState>
  <mergeCells count="14">
    <mergeCell ref="B299:G299"/>
    <mergeCell ref="K299:P299"/>
    <mergeCell ref="B2:D2"/>
    <mergeCell ref="N2:P2"/>
    <mergeCell ref="C7:G7"/>
    <mergeCell ref="C6:G6"/>
    <mergeCell ref="H7:P7"/>
    <mergeCell ref="H6:P6"/>
    <mergeCell ref="B6:B8"/>
    <mergeCell ref="E2:M2"/>
    <mergeCell ref="D4:N4"/>
    <mergeCell ref="D3:N3"/>
    <mergeCell ref="O3:P3"/>
    <mergeCell ref="O4:P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83"/>
  <sheetViews>
    <sheetView rightToLeft="1" zoomScale="40" zoomScaleNormal="40" workbookViewId="0">
      <selection activeCell="A282" sqref="A282:XFD282"/>
    </sheetView>
  </sheetViews>
  <sheetFormatPr defaultColWidth="9.140625" defaultRowHeight="15"/>
  <cols>
    <col min="1" max="1" width="10.7109375" customWidth="1"/>
    <col min="2" max="2" width="22.7109375" customWidth="1"/>
    <col min="3" max="16" width="24.7109375" customWidth="1"/>
    <col min="17" max="17" width="13.7109375" customWidth="1"/>
    <col min="18" max="18" width="13.85546875" customWidth="1"/>
  </cols>
  <sheetData>
    <row r="1" spans="2:16" ht="18" customHeight="1"/>
    <row r="2" spans="2:16" ht="40.15" customHeight="1">
      <c r="B2" s="193" t="s">
        <v>130</v>
      </c>
      <c r="C2" s="193"/>
      <c r="D2" s="193"/>
      <c r="E2" s="202" t="s">
        <v>102</v>
      </c>
      <c r="F2" s="202"/>
      <c r="G2" s="202"/>
      <c r="H2" s="202"/>
      <c r="I2" s="202"/>
      <c r="J2" s="202"/>
      <c r="K2" s="202"/>
      <c r="L2" s="202"/>
      <c r="M2" s="202"/>
      <c r="N2" s="167" t="s">
        <v>106</v>
      </c>
      <c r="O2" s="167"/>
      <c r="P2" s="167"/>
    </row>
    <row r="3" spans="2:16" ht="40.15" customHeight="1">
      <c r="B3" s="63"/>
      <c r="C3" s="63"/>
      <c r="D3" s="168" t="s">
        <v>164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91" t="s">
        <v>132</v>
      </c>
      <c r="P3" s="191"/>
    </row>
    <row r="4" spans="2:16" s="90" customFormat="1" ht="40.15" customHeight="1">
      <c r="B4" s="21"/>
      <c r="C4" s="85"/>
      <c r="D4" s="169" t="s">
        <v>133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92" t="s">
        <v>131</v>
      </c>
      <c r="P4" s="192"/>
    </row>
    <row r="5" spans="2:16" ht="10.15" customHeight="1">
      <c r="B5" s="21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6" ht="39.950000000000003" customHeight="1">
      <c r="B6" s="29"/>
      <c r="C6" s="186" t="s">
        <v>77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38"/>
      <c r="P6" s="39"/>
    </row>
    <row r="7" spans="2:16" ht="39.950000000000003" customHeight="1">
      <c r="B7" s="30"/>
      <c r="C7" s="184" t="s">
        <v>74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97" t="s">
        <v>76</v>
      </c>
      <c r="P7" s="199" t="s">
        <v>75</v>
      </c>
    </row>
    <row r="8" spans="2:16" ht="120" customHeight="1">
      <c r="B8" s="31"/>
      <c r="C8" s="35"/>
      <c r="D8" s="27" t="s">
        <v>52</v>
      </c>
      <c r="E8" s="27" t="s">
        <v>51</v>
      </c>
      <c r="F8" s="27" t="s">
        <v>50</v>
      </c>
      <c r="G8" s="27" t="s">
        <v>49</v>
      </c>
      <c r="H8" s="27" t="s">
        <v>48</v>
      </c>
      <c r="I8" s="27" t="s">
        <v>47</v>
      </c>
      <c r="J8" s="27" t="s">
        <v>46</v>
      </c>
      <c r="K8" s="27" t="s">
        <v>45</v>
      </c>
      <c r="L8" s="27" t="s">
        <v>44</v>
      </c>
      <c r="M8" s="27" t="s">
        <v>43</v>
      </c>
      <c r="N8" s="27" t="s">
        <v>42</v>
      </c>
      <c r="O8" s="198"/>
      <c r="P8" s="183"/>
    </row>
    <row r="9" spans="2:16" ht="38.25" customHeight="1"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95" t="s">
        <v>73</v>
      </c>
      <c r="P9" s="200" t="s">
        <v>135</v>
      </c>
    </row>
    <row r="10" spans="2:16" ht="105" customHeight="1">
      <c r="B10" s="40"/>
      <c r="C10" s="34"/>
      <c r="D10" s="80" t="s">
        <v>111</v>
      </c>
      <c r="E10" s="80" t="s">
        <v>38</v>
      </c>
      <c r="F10" s="80" t="s">
        <v>37</v>
      </c>
      <c r="G10" s="80" t="s">
        <v>36</v>
      </c>
      <c r="H10" s="80" t="s">
        <v>35</v>
      </c>
      <c r="I10" s="80" t="s">
        <v>34</v>
      </c>
      <c r="J10" s="80" t="s">
        <v>33</v>
      </c>
      <c r="K10" s="80" t="s">
        <v>32</v>
      </c>
      <c r="L10" s="80" t="s">
        <v>31</v>
      </c>
      <c r="M10" s="80" t="s">
        <v>30</v>
      </c>
      <c r="N10" s="80" t="s">
        <v>29</v>
      </c>
      <c r="O10" s="196"/>
      <c r="P10" s="201"/>
    </row>
    <row r="11" spans="2:16" ht="40.15" customHeight="1">
      <c r="B11" s="26" t="s">
        <v>79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6" s="8" customFormat="1" ht="34.9" hidden="1" customHeight="1">
      <c r="B12" s="5">
        <v>2004</v>
      </c>
      <c r="C12" s="7">
        <v>2344.5</v>
      </c>
      <c r="D12" s="6">
        <v>3153</v>
      </c>
      <c r="E12" s="6">
        <v>1667.1</v>
      </c>
      <c r="F12" s="6">
        <v>1234.5</v>
      </c>
      <c r="G12" s="6">
        <v>2514.3000000000002</v>
      </c>
      <c r="H12" s="6">
        <v>1660.7</v>
      </c>
      <c r="I12" s="6">
        <v>3503.3</v>
      </c>
      <c r="J12" s="6">
        <v>2607.1</v>
      </c>
      <c r="K12" s="6">
        <v>3009.2</v>
      </c>
      <c r="L12" s="6">
        <v>4538.6000000000004</v>
      </c>
      <c r="M12" s="6">
        <v>1507.7</v>
      </c>
      <c r="N12" s="6">
        <v>2887.1</v>
      </c>
      <c r="O12" s="7">
        <v>2729.1</v>
      </c>
      <c r="P12" s="7">
        <v>54.9</v>
      </c>
    </row>
    <row r="13" spans="2:16" s="8" customFormat="1" ht="34.9" hidden="1" customHeight="1">
      <c r="B13" s="9">
        <v>2005</v>
      </c>
      <c r="C13" s="11">
        <v>2815.6</v>
      </c>
      <c r="D13" s="10">
        <v>3325.4</v>
      </c>
      <c r="E13" s="10">
        <v>2054.6</v>
      </c>
      <c r="F13" s="10">
        <v>1442.9</v>
      </c>
      <c r="G13" s="10">
        <v>2055.3000000000002</v>
      </c>
      <c r="H13" s="10">
        <v>2246.3000000000002</v>
      </c>
      <c r="I13" s="10">
        <v>4140.8</v>
      </c>
      <c r="J13" s="10">
        <v>2702</v>
      </c>
      <c r="K13" s="10">
        <v>3365.7</v>
      </c>
      <c r="L13" s="10">
        <v>9907.7000000000007</v>
      </c>
      <c r="M13" s="10">
        <v>3124.7</v>
      </c>
      <c r="N13" s="10">
        <v>2300</v>
      </c>
      <c r="O13" s="11">
        <v>4259.7</v>
      </c>
      <c r="P13" s="11">
        <v>56.1</v>
      </c>
    </row>
    <row r="14" spans="2:16" s="8" customFormat="1" ht="34.9" hidden="1" customHeight="1">
      <c r="B14" s="5">
        <v>2006</v>
      </c>
      <c r="C14" s="7">
        <v>2372.3000000000002</v>
      </c>
      <c r="D14" s="6">
        <v>2609.1999999999998</v>
      </c>
      <c r="E14" s="6">
        <v>1727.8</v>
      </c>
      <c r="F14" s="6">
        <v>1283.5999999999999</v>
      </c>
      <c r="G14" s="6">
        <v>2026</v>
      </c>
      <c r="H14" s="6">
        <v>2103.5</v>
      </c>
      <c r="I14" s="6">
        <v>2566</v>
      </c>
      <c r="J14" s="6">
        <v>2535.6999999999998</v>
      </c>
      <c r="K14" s="6">
        <v>3139.9</v>
      </c>
      <c r="L14" s="6">
        <v>7794.8</v>
      </c>
      <c r="M14" s="6">
        <v>2078.1</v>
      </c>
      <c r="N14" s="6">
        <v>1181.3</v>
      </c>
      <c r="O14" s="7">
        <v>3013.7</v>
      </c>
      <c r="P14" s="7">
        <v>-29.3</v>
      </c>
    </row>
    <row r="15" spans="2:16" s="8" customFormat="1" ht="34.9" hidden="1" customHeight="1">
      <c r="B15" s="9">
        <v>2007</v>
      </c>
      <c r="C15" s="11">
        <v>3097.7</v>
      </c>
      <c r="D15" s="10">
        <v>2374.6</v>
      </c>
      <c r="E15" s="10">
        <v>1952.8</v>
      </c>
      <c r="F15" s="10">
        <v>1262.8</v>
      </c>
      <c r="G15" s="10">
        <v>2487.1</v>
      </c>
      <c r="H15" s="10">
        <v>2146.8000000000002</v>
      </c>
      <c r="I15" s="10">
        <v>2487.8000000000002</v>
      </c>
      <c r="J15" s="10">
        <v>4311.8</v>
      </c>
      <c r="K15" s="10">
        <v>3362.1</v>
      </c>
      <c r="L15" s="10">
        <v>8864.7999999999993</v>
      </c>
      <c r="M15" s="10">
        <v>2554.6999999999998</v>
      </c>
      <c r="N15" s="10">
        <v>1467.4</v>
      </c>
      <c r="O15" s="11">
        <v>3675</v>
      </c>
      <c r="P15" s="11">
        <v>21.943126389488015</v>
      </c>
    </row>
    <row r="16" spans="2:16" s="8" customFormat="1" ht="34.9" hidden="1" customHeight="1">
      <c r="B16" s="5">
        <v>2008</v>
      </c>
      <c r="C16" s="7">
        <v>2736</v>
      </c>
      <c r="D16" s="6">
        <v>1914.1</v>
      </c>
      <c r="E16" s="6">
        <v>1464.1</v>
      </c>
      <c r="F16" s="6">
        <v>803.6</v>
      </c>
      <c r="G16" s="6">
        <v>1539.6</v>
      </c>
      <c r="H16" s="6">
        <v>2308.4</v>
      </c>
      <c r="I16" s="6">
        <v>1608.3</v>
      </c>
      <c r="J16" s="6">
        <v>4380</v>
      </c>
      <c r="K16" s="6">
        <v>2915.7</v>
      </c>
      <c r="L16" s="6">
        <v>5883.8</v>
      </c>
      <c r="M16" s="6">
        <v>2050.1999999999998</v>
      </c>
      <c r="N16" s="6">
        <v>1050.0999999999999</v>
      </c>
      <c r="O16" s="7">
        <v>2758.4</v>
      </c>
      <c r="P16" s="7">
        <v>-24.9</v>
      </c>
    </row>
    <row r="17" spans="2:16" s="8" customFormat="1" ht="34.9" hidden="1" customHeight="1">
      <c r="B17" s="9">
        <v>2009</v>
      </c>
      <c r="C17" s="11">
        <v>2738.8</v>
      </c>
      <c r="D17" s="10">
        <v>1994.6</v>
      </c>
      <c r="E17" s="10">
        <v>1639.1</v>
      </c>
      <c r="F17" s="10">
        <v>517.29999999999995</v>
      </c>
      <c r="G17" s="10">
        <v>1459</v>
      </c>
      <c r="H17" s="10">
        <v>1924.4</v>
      </c>
      <c r="I17" s="10">
        <v>2065.9</v>
      </c>
      <c r="J17" s="10">
        <v>4587.1000000000004</v>
      </c>
      <c r="K17" s="10">
        <v>1973.4</v>
      </c>
      <c r="L17" s="10">
        <v>4909.7</v>
      </c>
      <c r="M17" s="10">
        <v>1965.9</v>
      </c>
      <c r="N17" s="10">
        <v>978.9</v>
      </c>
      <c r="O17" s="11">
        <v>2533.5</v>
      </c>
      <c r="P17" s="11">
        <v>-8.1999999999999993</v>
      </c>
    </row>
    <row r="18" spans="2:16" s="8" customFormat="1" ht="34.9" hidden="1" customHeight="1">
      <c r="B18" s="5">
        <v>2010</v>
      </c>
      <c r="C18" s="7">
        <v>2576.6</v>
      </c>
      <c r="D18" s="6">
        <v>2070.5</v>
      </c>
      <c r="E18" s="6">
        <v>1530</v>
      </c>
      <c r="F18" s="6">
        <v>350.5</v>
      </c>
      <c r="G18" s="6">
        <v>1418.6</v>
      </c>
      <c r="H18" s="6">
        <v>1509.5</v>
      </c>
      <c r="I18" s="6">
        <v>2659.1</v>
      </c>
      <c r="J18" s="6">
        <v>4210.8999999999996</v>
      </c>
      <c r="K18" s="6">
        <v>1915.2</v>
      </c>
      <c r="L18" s="6">
        <v>3717.4</v>
      </c>
      <c r="M18" s="6">
        <v>1928.6</v>
      </c>
      <c r="N18" s="6">
        <v>735.2</v>
      </c>
      <c r="O18" s="7">
        <v>2373.6</v>
      </c>
      <c r="P18" s="7">
        <v>-6.3</v>
      </c>
    </row>
    <row r="19" spans="2:16" s="8" customFormat="1" ht="34.9" hidden="1" customHeight="1">
      <c r="B19" s="9">
        <v>2011</v>
      </c>
      <c r="C19" s="11">
        <v>2149.9</v>
      </c>
      <c r="D19" s="10">
        <v>1656.6</v>
      </c>
      <c r="E19" s="10">
        <v>1338.7</v>
      </c>
      <c r="F19" s="10">
        <v>223.6</v>
      </c>
      <c r="G19" s="10">
        <v>1431.3</v>
      </c>
      <c r="H19" s="10">
        <v>1315.2</v>
      </c>
      <c r="I19" s="10">
        <v>3176.2</v>
      </c>
      <c r="J19" s="10">
        <v>3397</v>
      </c>
      <c r="K19" s="10">
        <v>1819.6</v>
      </c>
      <c r="L19" s="10">
        <v>1909.3</v>
      </c>
      <c r="M19" s="10">
        <v>1982.4</v>
      </c>
      <c r="N19" s="10">
        <v>660.5</v>
      </c>
      <c r="O19" s="11">
        <v>1995.1</v>
      </c>
      <c r="P19" s="11">
        <v>-15.9</v>
      </c>
    </row>
    <row r="20" spans="2:16" s="8" customFormat="1" ht="34.9" hidden="1" customHeight="1">
      <c r="B20" s="5">
        <v>2012</v>
      </c>
      <c r="C20" s="7">
        <v>2176.6</v>
      </c>
      <c r="D20" s="6">
        <v>1100.5999999999999</v>
      </c>
      <c r="E20" s="6">
        <v>1455.5</v>
      </c>
      <c r="F20" s="6">
        <v>227.4</v>
      </c>
      <c r="G20" s="6">
        <v>1918</v>
      </c>
      <c r="H20" s="6">
        <v>1120.9000000000001</v>
      </c>
      <c r="I20" s="6">
        <v>5220.7</v>
      </c>
      <c r="J20" s="6">
        <v>3391.5</v>
      </c>
      <c r="K20" s="6">
        <v>2004.2</v>
      </c>
      <c r="L20" s="6">
        <v>1344.6</v>
      </c>
      <c r="M20" s="6">
        <v>1921.6</v>
      </c>
      <c r="N20" s="6">
        <v>870.4</v>
      </c>
      <c r="O20" s="7">
        <v>1957.6</v>
      </c>
      <c r="P20" s="7">
        <v>-1.9</v>
      </c>
    </row>
    <row r="21" spans="2:16" s="8" customFormat="1" ht="34.9" hidden="1" customHeight="1">
      <c r="B21" s="9">
        <v>2013</v>
      </c>
      <c r="C21" s="11">
        <v>1964.9</v>
      </c>
      <c r="D21" s="10">
        <v>1341.3</v>
      </c>
      <c r="E21" s="10">
        <v>1786.4</v>
      </c>
      <c r="F21" s="10">
        <v>122.8</v>
      </c>
      <c r="G21" s="10">
        <v>2118.4</v>
      </c>
      <c r="H21" s="10">
        <v>1161.5</v>
      </c>
      <c r="I21" s="10">
        <v>9363.9</v>
      </c>
      <c r="J21" s="10">
        <v>2247.1999999999998</v>
      </c>
      <c r="K21" s="10">
        <v>2233.6</v>
      </c>
      <c r="L21" s="10">
        <v>1921.2</v>
      </c>
      <c r="M21" s="10">
        <v>1953.4</v>
      </c>
      <c r="N21" s="10">
        <v>993.7</v>
      </c>
      <c r="O21" s="11">
        <v>2065.8000000000002</v>
      </c>
      <c r="P21" s="11">
        <v>5.5</v>
      </c>
    </row>
    <row r="22" spans="2:16" s="8" customFormat="1" ht="34.9" hidden="1" customHeight="1">
      <c r="B22" s="5">
        <v>2014</v>
      </c>
      <c r="C22" s="7">
        <v>1852</v>
      </c>
      <c r="D22" s="6">
        <v>2236.8000000000002</v>
      </c>
      <c r="E22" s="6">
        <v>2065.5</v>
      </c>
      <c r="F22" s="6">
        <v>94.7</v>
      </c>
      <c r="G22" s="6">
        <v>3062.3</v>
      </c>
      <c r="H22" s="6">
        <v>1349.9</v>
      </c>
      <c r="I22" s="6">
        <v>7732</v>
      </c>
      <c r="J22" s="6">
        <v>1960.1</v>
      </c>
      <c r="K22" s="6">
        <v>2044.1</v>
      </c>
      <c r="L22" s="6">
        <v>1847.7</v>
      </c>
      <c r="M22" s="6">
        <v>1828.9</v>
      </c>
      <c r="N22" s="6">
        <v>1096.8</v>
      </c>
      <c r="O22" s="7">
        <v>2165.5</v>
      </c>
      <c r="P22" s="7">
        <v>4.8</v>
      </c>
    </row>
    <row r="23" spans="2:16" s="8" customFormat="1" ht="34.9" hidden="1" customHeight="1">
      <c r="B23" s="9">
        <v>2015</v>
      </c>
      <c r="C23" s="11">
        <v>1848.84</v>
      </c>
      <c r="D23" s="10">
        <v>1731.42</v>
      </c>
      <c r="E23" s="10">
        <v>1646.77</v>
      </c>
      <c r="F23" s="10">
        <v>73.209999999999994</v>
      </c>
      <c r="G23" s="10">
        <v>3251.02</v>
      </c>
      <c r="H23" s="10">
        <v>1605.07</v>
      </c>
      <c r="I23" s="10">
        <v>10935.42</v>
      </c>
      <c r="J23" s="10">
        <v>1782.45</v>
      </c>
      <c r="K23" s="10">
        <v>1538.3</v>
      </c>
      <c r="L23" s="10">
        <v>1348.64</v>
      </c>
      <c r="M23" s="10">
        <v>1927.9</v>
      </c>
      <c r="N23" s="10">
        <v>1162.4000000000001</v>
      </c>
      <c r="O23" s="11">
        <v>2136.3200000000002</v>
      </c>
      <c r="P23" s="11">
        <v>-1.3</v>
      </c>
    </row>
    <row r="24" spans="2:16" s="8" customFormat="1" ht="34.9" hidden="1" customHeight="1">
      <c r="B24" s="5">
        <v>2016</v>
      </c>
      <c r="C24" s="7">
        <v>2092.9899999999998</v>
      </c>
      <c r="D24" s="6">
        <v>1539.23</v>
      </c>
      <c r="E24" s="6">
        <v>1544.11</v>
      </c>
      <c r="F24" s="6">
        <v>77.03</v>
      </c>
      <c r="G24" s="6">
        <v>4841.4799999999996</v>
      </c>
      <c r="H24" s="6">
        <v>1537.26</v>
      </c>
      <c r="I24" s="6">
        <v>18499.439999999999</v>
      </c>
      <c r="J24" s="6">
        <v>1502.11</v>
      </c>
      <c r="K24" s="6">
        <v>946.29</v>
      </c>
      <c r="L24" s="6">
        <v>1188.8499999999999</v>
      </c>
      <c r="M24" s="6">
        <v>2212.35</v>
      </c>
      <c r="N24" s="6">
        <v>1162.4000000000001</v>
      </c>
      <c r="O24" s="7">
        <v>2170.29</v>
      </c>
      <c r="P24" s="7">
        <v>1.6</v>
      </c>
    </row>
    <row r="25" spans="2:16" s="8" customFormat="1" ht="34.9" hidden="1" customHeight="1">
      <c r="B25" s="9">
        <v>2017</v>
      </c>
      <c r="C25" s="11">
        <v>2229.54</v>
      </c>
      <c r="D25" s="10">
        <v>1318.86</v>
      </c>
      <c r="E25" s="10">
        <v>1329.52</v>
      </c>
      <c r="F25" s="10">
        <v>70.67</v>
      </c>
      <c r="G25" s="10">
        <v>5827.71</v>
      </c>
      <c r="H25" s="10">
        <v>1380.1</v>
      </c>
      <c r="I25" s="10">
        <v>23817.07</v>
      </c>
      <c r="J25" s="10">
        <v>1460.48</v>
      </c>
      <c r="K25" s="10">
        <v>917.58</v>
      </c>
      <c r="L25" s="10">
        <v>1083.04</v>
      </c>
      <c r="M25" s="10">
        <v>1786.97</v>
      </c>
      <c r="N25" s="10">
        <v>1162.4000000000001</v>
      </c>
      <c r="O25" s="11">
        <v>2126.7800000000002</v>
      </c>
      <c r="P25" s="11">
        <v>-2</v>
      </c>
    </row>
    <row r="26" spans="2:16" s="8" customFormat="1" ht="34.9" hidden="1" customHeight="1">
      <c r="B26" s="5">
        <v>2018</v>
      </c>
      <c r="C26" s="7">
        <v>1882.7</v>
      </c>
      <c r="D26" s="6">
        <v>795.32</v>
      </c>
      <c r="E26" s="6">
        <v>1206.21</v>
      </c>
      <c r="F26" s="6">
        <v>63.43</v>
      </c>
      <c r="G26" s="6">
        <v>5038.7299999999996</v>
      </c>
      <c r="H26" s="6">
        <v>1315.71</v>
      </c>
      <c r="I26" s="6">
        <v>19161.27</v>
      </c>
      <c r="J26" s="6">
        <v>1360.35</v>
      </c>
      <c r="K26" s="6">
        <v>744.28</v>
      </c>
      <c r="L26" s="6">
        <v>973.74</v>
      </c>
      <c r="M26" s="6">
        <v>1708.29</v>
      </c>
      <c r="N26" s="6">
        <v>1162.416871274771</v>
      </c>
      <c r="O26" s="7">
        <v>1908.81</v>
      </c>
      <c r="P26" s="7">
        <v>-10.248826865026013</v>
      </c>
    </row>
    <row r="27" spans="2:16" s="8" customFormat="1" ht="34.9" hidden="1" customHeight="1">
      <c r="B27" s="9">
        <v>2019</v>
      </c>
      <c r="C27" s="11">
        <v>1856.97</v>
      </c>
      <c r="D27" s="10">
        <v>853.56</v>
      </c>
      <c r="E27" s="10">
        <v>1199.4000000000001</v>
      </c>
      <c r="F27" s="10">
        <v>57.3</v>
      </c>
      <c r="G27" s="10">
        <v>5540.81</v>
      </c>
      <c r="H27" s="10">
        <v>1589.93</v>
      </c>
      <c r="I27" s="10">
        <v>18118.21</v>
      </c>
      <c r="J27" s="10">
        <v>1446.62</v>
      </c>
      <c r="K27" s="10">
        <v>455.47</v>
      </c>
      <c r="L27" s="10">
        <v>952.58</v>
      </c>
      <c r="M27" s="10">
        <v>1497.7</v>
      </c>
      <c r="N27" s="10">
        <v>1162.416871274771</v>
      </c>
      <c r="O27" s="11">
        <v>1815.2</v>
      </c>
      <c r="P27" s="10">
        <v>-4.9041025560427647</v>
      </c>
    </row>
    <row r="28" spans="2:16" s="8" customFormat="1" ht="34.9" hidden="1" customHeight="1">
      <c r="B28" s="5" t="s">
        <v>141</v>
      </c>
      <c r="C28" s="7">
        <v>2119.7158519837726</v>
      </c>
      <c r="D28" s="6">
        <v>960.11578510052823</v>
      </c>
      <c r="E28" s="6">
        <v>1516.2704136094121</v>
      </c>
      <c r="F28" s="6">
        <v>57.318788012847058</v>
      </c>
      <c r="G28" s="6">
        <v>5540.8079584620973</v>
      </c>
      <c r="H28" s="6">
        <v>1746.711149231325</v>
      </c>
      <c r="I28" s="6">
        <v>25391.572549058819</v>
      </c>
      <c r="J28" s="6">
        <v>1585.3500820883316</v>
      </c>
      <c r="K28" s="6">
        <v>463.28745939548315</v>
      </c>
      <c r="L28" s="6">
        <v>1069.3326633229626</v>
      </c>
      <c r="M28" s="6">
        <v>1330.9253696473013</v>
      </c>
      <c r="N28" s="6">
        <v>1162.416871274771</v>
      </c>
      <c r="O28" s="7">
        <v>1657.2222955369268</v>
      </c>
      <c r="P28" s="6">
        <v>-8.703046742126114</v>
      </c>
    </row>
    <row r="29" spans="2:16" s="8" customFormat="1" ht="34.9" customHeight="1">
      <c r="B29" s="9">
        <v>2021</v>
      </c>
      <c r="C29" s="11">
        <v>3665.8922577928997</v>
      </c>
      <c r="D29" s="10">
        <v>1069.5628248955732</v>
      </c>
      <c r="E29" s="10">
        <v>1794.7669655109867</v>
      </c>
      <c r="F29" s="10">
        <v>57.318788012847058</v>
      </c>
      <c r="G29" s="10">
        <v>5540.8079584620973</v>
      </c>
      <c r="H29" s="10">
        <v>1896.5373985360586</v>
      </c>
      <c r="I29" s="10">
        <v>14003.836981602137</v>
      </c>
      <c r="J29" s="10">
        <v>3588.9431537577143</v>
      </c>
      <c r="K29" s="10">
        <v>666.77053156075578</v>
      </c>
      <c r="L29" s="10">
        <v>1145.1111755526335</v>
      </c>
      <c r="M29" s="10">
        <v>1289.640362049433</v>
      </c>
      <c r="N29" s="10">
        <v>1162.416871274771</v>
      </c>
      <c r="O29" s="11">
        <v>2118.6494015799271</v>
      </c>
      <c r="P29" s="10">
        <v>27.84340442954888</v>
      </c>
    </row>
    <row r="30" spans="2:16" s="8" customFormat="1" ht="34.9" customHeight="1">
      <c r="B30" s="5">
        <v>2022</v>
      </c>
      <c r="C30" s="7">
        <v>5292.28</v>
      </c>
      <c r="D30" s="6">
        <v>945.46</v>
      </c>
      <c r="E30" s="6">
        <v>1599.48</v>
      </c>
      <c r="F30" s="6">
        <v>57.32</v>
      </c>
      <c r="G30" s="6">
        <v>5540.81</v>
      </c>
      <c r="H30" s="6">
        <v>1512.71</v>
      </c>
      <c r="I30" s="6">
        <v>7424.11</v>
      </c>
      <c r="J30" s="6">
        <v>6068.27</v>
      </c>
      <c r="K30" s="6">
        <v>564.25</v>
      </c>
      <c r="L30" s="6">
        <v>885.83</v>
      </c>
      <c r="M30" s="6">
        <v>1260.2</v>
      </c>
      <c r="N30" s="6">
        <v>1162.42</v>
      </c>
      <c r="O30" s="7">
        <v>2501.6</v>
      </c>
      <c r="P30" s="6">
        <v>18.075222740227687</v>
      </c>
    </row>
    <row r="31" spans="2:16" s="8" customFormat="1" ht="34.9" customHeight="1">
      <c r="B31" s="9">
        <v>2023</v>
      </c>
      <c r="C31" s="11">
        <v>4718.6899999999996</v>
      </c>
      <c r="D31" s="10">
        <v>1037.5999999999999</v>
      </c>
      <c r="E31" s="10">
        <v>1409.08</v>
      </c>
      <c r="F31" s="10">
        <v>57.32</v>
      </c>
      <c r="G31" s="10">
        <v>5540.81</v>
      </c>
      <c r="H31" s="10">
        <v>1464.35</v>
      </c>
      <c r="I31" s="10">
        <v>8136.01</v>
      </c>
      <c r="J31" s="10">
        <v>5154.0200000000004</v>
      </c>
      <c r="K31" s="10">
        <v>658.18</v>
      </c>
      <c r="L31" s="10">
        <v>984.77</v>
      </c>
      <c r="M31" s="10">
        <v>1271.97</v>
      </c>
      <c r="N31" s="10">
        <v>1162.42</v>
      </c>
      <c r="O31" s="11">
        <v>2431.21</v>
      </c>
      <c r="P31" s="10">
        <v>-2.8137991685321344</v>
      </c>
    </row>
    <row r="32" spans="2:16" s="8" customFormat="1" ht="34.9" customHeight="1">
      <c r="B32" s="5">
        <v>2024</v>
      </c>
      <c r="C32" s="7">
        <v>5531.31</v>
      </c>
      <c r="D32" s="6">
        <v>1011.21</v>
      </c>
      <c r="E32" s="6">
        <v>1589.68</v>
      </c>
      <c r="F32" s="6">
        <v>57.32</v>
      </c>
      <c r="G32" s="6">
        <v>5540.81</v>
      </c>
      <c r="H32" s="6">
        <v>1408.69</v>
      </c>
      <c r="I32" s="6">
        <v>1423.8</v>
      </c>
      <c r="J32" s="6">
        <v>6280.7</v>
      </c>
      <c r="K32" s="6">
        <v>896.98</v>
      </c>
      <c r="L32" s="6">
        <v>1422.71</v>
      </c>
      <c r="M32" s="6">
        <v>1189.53</v>
      </c>
      <c r="N32" s="6">
        <v>1162.42</v>
      </c>
      <c r="O32" s="7">
        <v>2488.7600000000002</v>
      </c>
      <c r="P32" s="6">
        <v>2.3671340608174489</v>
      </c>
    </row>
    <row r="33" spans="2:16" s="8" customFormat="1" ht="34.9" customHeight="1">
      <c r="B33" s="9">
        <v>2025</v>
      </c>
      <c r="C33" s="62">
        <v>8872.85</v>
      </c>
      <c r="D33" s="61">
        <v>1060.7</v>
      </c>
      <c r="E33" s="61">
        <v>1831.72</v>
      </c>
      <c r="F33" s="61">
        <v>57.32</v>
      </c>
      <c r="G33" s="61">
        <v>5540.81</v>
      </c>
      <c r="H33" s="61">
        <v>1385.65</v>
      </c>
      <c r="I33" s="61">
        <v>854.28</v>
      </c>
      <c r="J33" s="61">
        <v>11134.79</v>
      </c>
      <c r="K33" s="61">
        <v>927.6</v>
      </c>
      <c r="L33" s="61">
        <v>3115.24</v>
      </c>
      <c r="M33" s="61">
        <v>1690.08</v>
      </c>
      <c r="N33" s="61">
        <v>1162.42</v>
      </c>
      <c r="O33" s="62">
        <v>3611.62</v>
      </c>
      <c r="P33" s="10">
        <v>45.117247143155623</v>
      </c>
    </row>
    <row r="34" spans="2:16" s="8" customFormat="1" ht="34.9" hidden="1" customHeight="1">
      <c r="B34" s="3">
        <v>2006</v>
      </c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3"/>
      <c r="P34" s="94"/>
    </row>
    <row r="35" spans="2:16" s="8" customFormat="1" ht="34.9" hidden="1" customHeight="1">
      <c r="B35" s="14">
        <v>38899</v>
      </c>
      <c r="C35" s="7">
        <v>2388</v>
      </c>
      <c r="D35" s="6">
        <v>2772.5</v>
      </c>
      <c r="E35" s="6">
        <v>1780.3</v>
      </c>
      <c r="F35" s="6">
        <v>1497.7</v>
      </c>
      <c r="G35" s="6">
        <v>1751.5</v>
      </c>
      <c r="H35" s="6">
        <v>2103.6999999999998</v>
      </c>
      <c r="I35" s="6">
        <v>2729.6</v>
      </c>
      <c r="J35" s="6">
        <v>2485.1999999999998</v>
      </c>
      <c r="K35" s="6">
        <v>2918.2</v>
      </c>
      <c r="L35" s="6">
        <v>7536</v>
      </c>
      <c r="M35" s="6">
        <v>2299</v>
      </c>
      <c r="N35" s="6">
        <v>1439.4</v>
      </c>
      <c r="O35" s="7">
        <v>3218.5</v>
      </c>
      <c r="P35" s="6">
        <v>6.8</v>
      </c>
    </row>
    <row r="36" spans="2:16" s="8" customFormat="1" ht="34.9" hidden="1" customHeight="1">
      <c r="B36" s="15">
        <v>38930</v>
      </c>
      <c r="C36" s="11">
        <v>2468</v>
      </c>
      <c r="D36" s="10">
        <v>2753.9</v>
      </c>
      <c r="E36" s="10">
        <v>1899</v>
      </c>
      <c r="F36" s="10">
        <v>1415.4</v>
      </c>
      <c r="G36" s="10">
        <v>1792.9</v>
      </c>
      <c r="H36" s="10">
        <v>2110</v>
      </c>
      <c r="I36" s="10">
        <v>2774.8</v>
      </c>
      <c r="J36" s="10">
        <v>2624.9</v>
      </c>
      <c r="K36" s="10">
        <v>2902.8</v>
      </c>
      <c r="L36" s="10">
        <v>8095</v>
      </c>
      <c r="M36" s="10">
        <v>2322.8000000000002</v>
      </c>
      <c r="N36" s="10">
        <v>1567.3</v>
      </c>
      <c r="O36" s="11">
        <v>3369.4</v>
      </c>
      <c r="P36" s="10">
        <v>4.7</v>
      </c>
    </row>
    <row r="37" spans="2:16" s="8" customFormat="1" ht="34.9" hidden="1" customHeight="1">
      <c r="B37" s="14">
        <v>38961</v>
      </c>
      <c r="C37" s="7">
        <v>2471.5</v>
      </c>
      <c r="D37" s="6">
        <v>2642.1</v>
      </c>
      <c r="E37" s="6">
        <v>1921.3</v>
      </c>
      <c r="F37" s="6">
        <v>1372.1</v>
      </c>
      <c r="G37" s="6">
        <v>2113.8000000000002</v>
      </c>
      <c r="H37" s="6">
        <v>2136.3000000000002</v>
      </c>
      <c r="I37" s="6">
        <v>2967.9</v>
      </c>
      <c r="J37" s="6">
        <v>2640.7</v>
      </c>
      <c r="K37" s="6">
        <v>3175.1</v>
      </c>
      <c r="L37" s="6">
        <v>7815.1</v>
      </c>
      <c r="M37" s="6">
        <v>2200.1999999999998</v>
      </c>
      <c r="N37" s="6">
        <v>1625.4</v>
      </c>
      <c r="O37" s="7">
        <v>3279.4</v>
      </c>
      <c r="P37" s="6">
        <v>-2.7</v>
      </c>
    </row>
    <row r="38" spans="2:16" s="8" customFormat="1" ht="34.9" hidden="1" customHeight="1">
      <c r="B38" s="15">
        <v>38991</v>
      </c>
      <c r="C38" s="11">
        <v>2423.3000000000002</v>
      </c>
      <c r="D38" s="10">
        <v>2618.9</v>
      </c>
      <c r="E38" s="10">
        <v>2007.9</v>
      </c>
      <c r="F38" s="10">
        <v>1330.4</v>
      </c>
      <c r="G38" s="10">
        <v>2232.9</v>
      </c>
      <c r="H38" s="10">
        <v>2102.5</v>
      </c>
      <c r="I38" s="10">
        <v>2768.7</v>
      </c>
      <c r="J38" s="10">
        <v>2583.5</v>
      </c>
      <c r="K38" s="10">
        <v>2999.3</v>
      </c>
      <c r="L38" s="10">
        <v>7742.6</v>
      </c>
      <c r="M38" s="10">
        <v>2211.1999999999998</v>
      </c>
      <c r="N38" s="10">
        <v>1411.2</v>
      </c>
      <c r="O38" s="11">
        <v>3305.6</v>
      </c>
      <c r="P38" s="10">
        <v>0.8</v>
      </c>
    </row>
    <row r="39" spans="2:16" s="8" customFormat="1" ht="34.9" hidden="1" customHeight="1">
      <c r="B39" s="14">
        <v>39022</v>
      </c>
      <c r="C39" s="7">
        <v>2338.5</v>
      </c>
      <c r="D39" s="6">
        <v>2513.5</v>
      </c>
      <c r="E39" s="6">
        <v>1820.2</v>
      </c>
      <c r="F39" s="6">
        <v>1292.2</v>
      </c>
      <c r="G39" s="6">
        <v>2069.1999999999998</v>
      </c>
      <c r="H39" s="6">
        <v>2135.9</v>
      </c>
      <c r="I39" s="6">
        <v>2560.8000000000002</v>
      </c>
      <c r="J39" s="6">
        <v>2512.8000000000002</v>
      </c>
      <c r="K39" s="6">
        <v>2881.3</v>
      </c>
      <c r="L39" s="6">
        <v>7841.1</v>
      </c>
      <c r="M39" s="6">
        <v>1968.4</v>
      </c>
      <c r="N39" s="6">
        <v>1337.4</v>
      </c>
      <c r="O39" s="7">
        <v>3044.4</v>
      </c>
      <c r="P39" s="6">
        <v>-7.9</v>
      </c>
    </row>
    <row r="40" spans="2:16" s="8" customFormat="1" ht="34.9" hidden="1" customHeight="1">
      <c r="B40" s="15">
        <v>39052</v>
      </c>
      <c r="C40" s="11">
        <v>2372.3000000000002</v>
      </c>
      <c r="D40" s="10">
        <v>2609.1999999999998</v>
      </c>
      <c r="E40" s="10">
        <v>1727.8</v>
      </c>
      <c r="F40" s="10">
        <v>1283.5999999999999</v>
      </c>
      <c r="G40" s="10">
        <v>2026</v>
      </c>
      <c r="H40" s="10">
        <v>2103.5</v>
      </c>
      <c r="I40" s="10">
        <v>2566</v>
      </c>
      <c r="J40" s="10">
        <v>2535.6999999999998</v>
      </c>
      <c r="K40" s="10">
        <v>3139.9</v>
      </c>
      <c r="L40" s="10">
        <v>7794.8</v>
      </c>
      <c r="M40" s="10">
        <v>2078.1</v>
      </c>
      <c r="N40" s="10">
        <v>1181.3</v>
      </c>
      <c r="O40" s="11">
        <v>3013.7</v>
      </c>
      <c r="P40" s="10">
        <v>-1</v>
      </c>
    </row>
    <row r="41" spans="2:16" s="8" customFormat="1" ht="34.9" hidden="1" customHeight="1">
      <c r="B41" s="3">
        <v>2007</v>
      </c>
      <c r="C41" s="93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3"/>
      <c r="P41" s="94"/>
    </row>
    <row r="42" spans="2:16" s="8" customFormat="1" ht="34.9" hidden="1" customHeight="1">
      <c r="B42" s="14">
        <v>39083</v>
      </c>
      <c r="C42" s="7">
        <v>2510.3000000000002</v>
      </c>
      <c r="D42" s="6">
        <v>2718.5</v>
      </c>
      <c r="E42" s="6">
        <v>1948.8</v>
      </c>
      <c r="F42" s="6">
        <v>1254.4000000000001</v>
      </c>
      <c r="G42" s="6">
        <v>2358.1999999999998</v>
      </c>
      <c r="H42" s="6">
        <v>2230.5</v>
      </c>
      <c r="I42" s="6">
        <v>2526</v>
      </c>
      <c r="J42" s="6">
        <v>2704.5</v>
      </c>
      <c r="K42" s="6">
        <v>3181.2</v>
      </c>
      <c r="L42" s="6">
        <v>8544.2000000000007</v>
      </c>
      <c r="M42" s="6">
        <v>2190.8000000000002</v>
      </c>
      <c r="N42" s="6">
        <v>1270.8</v>
      </c>
      <c r="O42" s="7">
        <v>3256.2</v>
      </c>
      <c r="P42" s="6">
        <f>O42/O40*100-100</f>
        <v>8.0465872515512444</v>
      </c>
    </row>
    <row r="43" spans="2:16" s="8" customFormat="1" ht="34.9" hidden="1" customHeight="1">
      <c r="B43" s="15">
        <v>39114</v>
      </c>
      <c r="C43" s="11">
        <v>2620.5</v>
      </c>
      <c r="D43" s="10">
        <v>2872.2</v>
      </c>
      <c r="E43" s="10">
        <v>1851.3</v>
      </c>
      <c r="F43" s="10">
        <v>1290.7</v>
      </c>
      <c r="G43" s="10">
        <v>2283.8000000000002</v>
      </c>
      <c r="H43" s="10">
        <v>2212.8000000000002</v>
      </c>
      <c r="I43" s="10">
        <v>2733</v>
      </c>
      <c r="J43" s="10">
        <v>2879.3</v>
      </c>
      <c r="K43" s="10">
        <v>3314.8</v>
      </c>
      <c r="L43" s="10">
        <v>8536.4</v>
      </c>
      <c r="M43" s="10">
        <v>2308.6</v>
      </c>
      <c r="N43" s="10">
        <v>1201.4000000000001</v>
      </c>
      <c r="O43" s="11">
        <v>3408.5</v>
      </c>
      <c r="P43" s="10">
        <f>O43/O42*100-100</f>
        <v>4.6772311283090744</v>
      </c>
    </row>
    <row r="44" spans="2:16" s="8" customFormat="1" ht="34.9" hidden="1" customHeight="1">
      <c r="B44" s="14">
        <v>39142</v>
      </c>
      <c r="C44" s="7">
        <v>2557</v>
      </c>
      <c r="D44" s="6">
        <v>2686.2</v>
      </c>
      <c r="E44" s="6">
        <v>1871.7</v>
      </c>
      <c r="F44" s="6">
        <v>1321.6</v>
      </c>
      <c r="G44" s="6">
        <v>2203.9</v>
      </c>
      <c r="H44" s="6">
        <v>2105.9</v>
      </c>
      <c r="I44" s="6">
        <v>2733</v>
      </c>
      <c r="J44" s="6">
        <v>2830</v>
      </c>
      <c r="K44" s="6">
        <v>2830</v>
      </c>
      <c r="L44" s="6">
        <v>8545.2000000000007</v>
      </c>
      <c r="M44" s="6">
        <v>2225</v>
      </c>
      <c r="N44" s="6">
        <v>1168.3</v>
      </c>
      <c r="O44" s="7">
        <v>3247</v>
      </c>
      <c r="P44" s="6">
        <f>O44/O43*100-100</f>
        <v>-4.7381546134663353</v>
      </c>
    </row>
    <row r="45" spans="2:16" s="8" customFormat="1" ht="34.9" hidden="1" customHeight="1">
      <c r="B45" s="15">
        <v>39173</v>
      </c>
      <c r="C45" s="11">
        <v>2511.4</v>
      </c>
      <c r="D45" s="10">
        <v>2594.9</v>
      </c>
      <c r="E45" s="10">
        <v>1840.1</v>
      </c>
      <c r="F45" s="10">
        <v>1232.2</v>
      </c>
      <c r="G45" s="10">
        <v>2218.4</v>
      </c>
      <c r="H45" s="10">
        <v>2035.6</v>
      </c>
      <c r="I45" s="10">
        <v>2583.4</v>
      </c>
      <c r="J45" s="10">
        <v>2796.1</v>
      </c>
      <c r="K45" s="10">
        <v>3099.4</v>
      </c>
      <c r="L45" s="10">
        <v>8642.2000000000007</v>
      </c>
      <c r="M45" s="10">
        <v>2215.6999999999998</v>
      </c>
      <c r="N45" s="10">
        <v>1135.2</v>
      </c>
      <c r="O45" s="11">
        <v>3155.8</v>
      </c>
      <c r="P45" s="10">
        <f>O45/O44*100-100</f>
        <v>-2.8087465352633245</v>
      </c>
    </row>
    <row r="46" spans="2:16" s="8" customFormat="1" ht="34.9" hidden="1" customHeight="1">
      <c r="B46" s="14">
        <v>39203</v>
      </c>
      <c r="C46" s="7">
        <v>2484.6999999999998</v>
      </c>
      <c r="D46" s="6">
        <v>2525.3000000000002</v>
      </c>
      <c r="E46" s="6">
        <v>1752.9</v>
      </c>
      <c r="F46" s="6">
        <v>1227.5</v>
      </c>
      <c r="G46" s="6">
        <v>2117.5</v>
      </c>
      <c r="H46" s="6">
        <v>2147.8000000000002</v>
      </c>
      <c r="I46" s="6">
        <v>2407.6999999999998</v>
      </c>
      <c r="J46" s="6">
        <v>2741.7</v>
      </c>
      <c r="K46" s="6">
        <v>3250.4</v>
      </c>
      <c r="L46" s="6">
        <v>8829.4</v>
      </c>
      <c r="M46" s="6">
        <v>2194.6</v>
      </c>
      <c r="N46" s="6">
        <v>1454.1</v>
      </c>
      <c r="O46" s="7">
        <v>3133</v>
      </c>
      <c r="P46" s="6">
        <f t="shared" ref="P46:P49" si="0">O46/O45*100-100</f>
        <v>-0.72247924456556234</v>
      </c>
    </row>
    <row r="47" spans="2:16" s="8" customFormat="1" ht="34.9" hidden="1" customHeight="1">
      <c r="B47" s="15">
        <v>39234</v>
      </c>
      <c r="C47" s="11">
        <v>2539.4</v>
      </c>
      <c r="D47" s="10">
        <v>2631.3</v>
      </c>
      <c r="E47" s="10">
        <v>1846.3</v>
      </c>
      <c r="F47" s="10">
        <v>1222.0999999999999</v>
      </c>
      <c r="G47" s="10">
        <v>2089.9</v>
      </c>
      <c r="H47" s="10">
        <v>2186.8000000000002</v>
      </c>
      <c r="I47" s="10">
        <v>2376.4</v>
      </c>
      <c r="J47" s="10">
        <v>2846.1</v>
      </c>
      <c r="K47" s="10">
        <v>3249.2</v>
      </c>
      <c r="L47" s="10">
        <v>8795.6</v>
      </c>
      <c r="M47" s="10">
        <v>2133.9</v>
      </c>
      <c r="N47" s="10">
        <v>1270.3</v>
      </c>
      <c r="O47" s="11">
        <v>3172.8</v>
      </c>
      <c r="P47" s="10">
        <f t="shared" si="0"/>
        <v>1.2703479093520542</v>
      </c>
    </row>
    <row r="48" spans="2:16" s="8" customFormat="1" ht="34.9" hidden="1" customHeight="1">
      <c r="B48" s="14">
        <v>39264</v>
      </c>
      <c r="C48" s="7">
        <v>2516.9</v>
      </c>
      <c r="D48" s="6">
        <v>2525.6</v>
      </c>
      <c r="E48" s="6">
        <v>1855.6</v>
      </c>
      <c r="F48" s="6">
        <v>1224.8</v>
      </c>
      <c r="G48" s="6">
        <v>2237.6999999999998</v>
      </c>
      <c r="H48" s="6">
        <v>2285</v>
      </c>
      <c r="I48" s="6">
        <v>2366.8000000000002</v>
      </c>
      <c r="J48" s="6">
        <v>2820.4</v>
      </c>
      <c r="K48" s="6">
        <v>3328.1</v>
      </c>
      <c r="L48" s="6">
        <v>8723.9</v>
      </c>
      <c r="M48" s="6">
        <v>2112.9</v>
      </c>
      <c r="N48" s="6">
        <v>1209</v>
      </c>
      <c r="O48" s="7">
        <v>3100.2</v>
      </c>
      <c r="P48" s="6">
        <f t="shared" si="0"/>
        <v>-2.2881996974281549</v>
      </c>
    </row>
    <row r="49" spans="2:16" s="8" customFormat="1" ht="34.9" hidden="1" customHeight="1">
      <c r="B49" s="15">
        <v>39295</v>
      </c>
      <c r="C49" s="11">
        <v>2449.1999999999998</v>
      </c>
      <c r="D49" s="10">
        <v>2395.8000000000002</v>
      </c>
      <c r="E49" s="10">
        <v>1679</v>
      </c>
      <c r="F49" s="10">
        <v>1272.5</v>
      </c>
      <c r="G49" s="10">
        <v>2149.4</v>
      </c>
      <c r="H49" s="10">
        <v>2237.4</v>
      </c>
      <c r="I49" s="10">
        <v>2248.5</v>
      </c>
      <c r="J49" s="10">
        <v>2763.4</v>
      </c>
      <c r="K49" s="10">
        <v>3201.8</v>
      </c>
      <c r="L49" s="10">
        <v>8885.7000000000007</v>
      </c>
      <c r="M49" s="10">
        <v>2074.4</v>
      </c>
      <c r="N49" s="10">
        <v>1116.9000000000001</v>
      </c>
      <c r="O49" s="11">
        <v>3022.1</v>
      </c>
      <c r="P49" s="10">
        <f t="shared" si="0"/>
        <v>-2.519192310173537</v>
      </c>
    </row>
    <row r="50" spans="2:16" s="8" customFormat="1" ht="34.9" hidden="1" customHeight="1">
      <c r="B50" s="14">
        <v>39326</v>
      </c>
      <c r="C50" s="7">
        <v>2507.1999999999998</v>
      </c>
      <c r="D50" s="6">
        <v>2338.6</v>
      </c>
      <c r="E50" s="6">
        <v>1753.9</v>
      </c>
      <c r="F50" s="6">
        <v>1248.2</v>
      </c>
      <c r="G50" s="6">
        <v>2042.3</v>
      </c>
      <c r="H50" s="6">
        <v>2181.1999999999998</v>
      </c>
      <c r="I50" s="6">
        <v>2255.5</v>
      </c>
      <c r="J50" s="6">
        <v>2868.9</v>
      </c>
      <c r="K50" s="6">
        <v>3372.9</v>
      </c>
      <c r="L50" s="6">
        <v>9196.1</v>
      </c>
      <c r="M50" s="6">
        <v>2132.1999999999998</v>
      </c>
      <c r="N50" s="6">
        <v>1180.4000000000001</v>
      </c>
      <c r="O50" s="7">
        <v>3108.2</v>
      </c>
      <c r="P50" s="6">
        <f>O50/O49*100-100</f>
        <v>2.8490122762317611</v>
      </c>
    </row>
    <row r="51" spans="2:16" s="8" customFormat="1" ht="34.9" hidden="1" customHeight="1">
      <c r="B51" s="15">
        <v>39356</v>
      </c>
      <c r="C51" s="11">
        <v>2779.7</v>
      </c>
      <c r="D51" s="10">
        <v>2447.9</v>
      </c>
      <c r="E51" s="10">
        <v>2076.6999999999998</v>
      </c>
      <c r="F51" s="10">
        <v>1241.5999999999999</v>
      </c>
      <c r="G51" s="10">
        <v>2605.1</v>
      </c>
      <c r="H51" s="10">
        <v>2241.3000000000002</v>
      </c>
      <c r="I51" s="10">
        <v>2466.9</v>
      </c>
      <c r="J51" s="10">
        <v>3348.6</v>
      </c>
      <c r="K51" s="10">
        <v>3424.8</v>
      </c>
      <c r="L51" s="10">
        <v>9724.4</v>
      </c>
      <c r="M51" s="10">
        <v>2295.5</v>
      </c>
      <c r="N51" s="10">
        <v>1346.3</v>
      </c>
      <c r="O51" s="11">
        <v>3447.9</v>
      </c>
      <c r="P51" s="10">
        <f>O51/O50*100-100</f>
        <v>10.929155138022011</v>
      </c>
    </row>
    <row r="52" spans="2:16" s="8" customFormat="1" ht="34.9" hidden="1" customHeight="1">
      <c r="B52" s="14">
        <v>39387</v>
      </c>
      <c r="C52" s="7">
        <v>2724.2</v>
      </c>
      <c r="D52" s="6">
        <v>2342.1999999999998</v>
      </c>
      <c r="E52" s="6">
        <v>2021.1</v>
      </c>
      <c r="F52" s="6">
        <v>1189.8</v>
      </c>
      <c r="G52" s="6">
        <v>2494</v>
      </c>
      <c r="H52" s="6">
        <v>2171.1</v>
      </c>
      <c r="I52" s="6">
        <v>2367.6999999999998</v>
      </c>
      <c r="J52" s="6">
        <v>3368.3</v>
      </c>
      <c r="K52" s="6">
        <v>3393.4</v>
      </c>
      <c r="L52" s="6">
        <v>8639.9</v>
      </c>
      <c r="M52" s="6">
        <v>2501.9</v>
      </c>
      <c r="N52" s="6">
        <v>1287.2</v>
      </c>
      <c r="O52" s="7">
        <v>3443.8</v>
      </c>
      <c r="P52" s="6">
        <f>O52/O51*100-100</f>
        <v>-0.11891296151280528</v>
      </c>
    </row>
    <row r="53" spans="2:16" s="8" customFormat="1" ht="34.9" hidden="1" customHeight="1">
      <c r="B53" s="15">
        <v>39417</v>
      </c>
      <c r="C53" s="11">
        <v>3097.7</v>
      </c>
      <c r="D53" s="10">
        <v>2374.6</v>
      </c>
      <c r="E53" s="10">
        <v>1952.8</v>
      </c>
      <c r="F53" s="10">
        <v>1262.8</v>
      </c>
      <c r="G53" s="10">
        <v>2487.1</v>
      </c>
      <c r="H53" s="10">
        <v>2146.8000000000002</v>
      </c>
      <c r="I53" s="10">
        <v>2487.8000000000002</v>
      </c>
      <c r="J53" s="10">
        <v>4311.8</v>
      </c>
      <c r="K53" s="10">
        <v>3362.1</v>
      </c>
      <c r="L53" s="10">
        <v>8864.7999999999993</v>
      </c>
      <c r="M53" s="10">
        <v>2554.6999999999998</v>
      </c>
      <c r="N53" s="10">
        <v>1467.4</v>
      </c>
      <c r="O53" s="11">
        <v>3675</v>
      </c>
      <c r="P53" s="10">
        <f>O53/O52*100-100</f>
        <v>6.7135141413554749</v>
      </c>
    </row>
    <row r="54" spans="2:16" s="8" customFormat="1" ht="34.9" hidden="1" customHeight="1">
      <c r="B54" s="3">
        <v>2008</v>
      </c>
      <c r="C54" s="93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3"/>
      <c r="P54" s="94"/>
    </row>
    <row r="55" spans="2:16" s="8" customFormat="1" ht="34.9" hidden="1" customHeight="1">
      <c r="B55" s="14">
        <v>39448</v>
      </c>
      <c r="C55" s="7">
        <v>3197.9</v>
      </c>
      <c r="D55" s="6">
        <v>2395.8000000000002</v>
      </c>
      <c r="E55" s="6">
        <v>1943.4</v>
      </c>
      <c r="F55" s="6">
        <v>1288.2</v>
      </c>
      <c r="G55" s="6">
        <v>2425.5</v>
      </c>
      <c r="H55" s="6">
        <v>2234.6</v>
      </c>
      <c r="I55" s="6">
        <v>2378.1</v>
      </c>
      <c r="J55" s="6">
        <v>4546.6000000000004</v>
      </c>
      <c r="K55" s="6">
        <v>3255.8</v>
      </c>
      <c r="L55" s="6">
        <v>9063.7999999999993</v>
      </c>
      <c r="M55" s="6">
        <v>2766.1</v>
      </c>
      <c r="N55" s="6">
        <v>1418.7</v>
      </c>
      <c r="O55" s="7">
        <v>3835</v>
      </c>
      <c r="P55" s="6">
        <f>O55/O53*100-100</f>
        <v>4.3537414965986443</v>
      </c>
    </row>
    <row r="56" spans="2:16" s="8" customFormat="1" ht="34.9" hidden="1" customHeight="1">
      <c r="B56" s="15">
        <v>39479</v>
      </c>
      <c r="C56" s="11">
        <v>3673</v>
      </c>
      <c r="D56" s="10">
        <v>2479.1999999999998</v>
      </c>
      <c r="E56" s="10">
        <v>1915.7</v>
      </c>
      <c r="F56" s="10">
        <v>1303.5999999999999</v>
      </c>
      <c r="G56" s="10">
        <v>2498.1</v>
      </c>
      <c r="H56" s="10">
        <v>2497.8000000000002</v>
      </c>
      <c r="I56" s="10">
        <v>2268.6999999999998</v>
      </c>
      <c r="J56" s="10">
        <v>5778.9</v>
      </c>
      <c r="K56" s="10">
        <v>3342.1</v>
      </c>
      <c r="L56" s="10">
        <v>9257.2000000000007</v>
      </c>
      <c r="M56" s="10">
        <v>2729.4</v>
      </c>
      <c r="N56" s="10">
        <v>1301.5999999999999</v>
      </c>
      <c r="O56" s="11">
        <v>3987.9</v>
      </c>
      <c r="P56" s="10">
        <f>O56/O55*100-100</f>
        <v>3.9869621903520169</v>
      </c>
    </row>
    <row r="57" spans="2:16" s="8" customFormat="1" ht="34.9" hidden="1" customHeight="1">
      <c r="B57" s="14">
        <v>39508</v>
      </c>
      <c r="C57" s="7">
        <v>3842.6</v>
      </c>
      <c r="D57" s="6">
        <v>2384.1999999999998</v>
      </c>
      <c r="E57" s="6">
        <v>1836.5</v>
      </c>
      <c r="F57" s="6">
        <v>1256.4000000000001</v>
      </c>
      <c r="G57" s="6">
        <v>2201.1999999999998</v>
      </c>
      <c r="H57" s="6">
        <v>2300.1</v>
      </c>
      <c r="I57" s="6">
        <v>1995.2</v>
      </c>
      <c r="J57" s="6">
        <v>6423.2</v>
      </c>
      <c r="K57" s="6">
        <v>3301.3</v>
      </c>
      <c r="L57" s="6">
        <v>8799.2999999999993</v>
      </c>
      <c r="M57" s="6">
        <v>2708.7</v>
      </c>
      <c r="N57" s="6">
        <v>1206.0999999999999</v>
      </c>
      <c r="O57" s="7">
        <v>3925.6</v>
      </c>
      <c r="P57" s="6">
        <f>O57/O56*100-100</f>
        <v>-1.5622257328418527</v>
      </c>
    </row>
    <row r="58" spans="2:16" s="8" customFormat="1" ht="34.9" hidden="1" customHeight="1">
      <c r="B58" s="15">
        <v>39539</v>
      </c>
      <c r="C58" s="11">
        <v>4341.1000000000004</v>
      </c>
      <c r="D58" s="10">
        <v>2397.9</v>
      </c>
      <c r="E58" s="10">
        <v>1781.6</v>
      </c>
      <c r="F58" s="10">
        <v>1267.8</v>
      </c>
      <c r="G58" s="10">
        <v>2056.1999999999998</v>
      </c>
      <c r="H58" s="10">
        <v>2331.4</v>
      </c>
      <c r="I58" s="10">
        <v>1915.2</v>
      </c>
      <c r="J58" s="10">
        <v>7839.9</v>
      </c>
      <c r="K58" s="10">
        <v>3229.3</v>
      </c>
      <c r="L58" s="10">
        <v>8493.9</v>
      </c>
      <c r="M58" s="10">
        <v>2612.1999999999998</v>
      </c>
      <c r="N58" s="10">
        <v>1168.7</v>
      </c>
      <c r="O58" s="11">
        <v>4145.7</v>
      </c>
      <c r="P58" s="10">
        <f>O58/O57*100-100</f>
        <v>5.6067862237619579</v>
      </c>
    </row>
    <row r="59" spans="2:16" s="8" customFormat="1" ht="34.9" hidden="1" customHeight="1">
      <c r="B59" s="14">
        <v>39569</v>
      </c>
      <c r="C59" s="7">
        <v>4747.8500000000004</v>
      </c>
      <c r="D59" s="6">
        <v>2458.65</v>
      </c>
      <c r="E59" s="6">
        <v>1833.19</v>
      </c>
      <c r="F59" s="6">
        <v>1282.45</v>
      </c>
      <c r="G59" s="6">
        <v>2061.4</v>
      </c>
      <c r="H59" s="6">
        <v>2556.8200000000002</v>
      </c>
      <c r="I59" s="6">
        <v>2081.1999999999998</v>
      </c>
      <c r="J59" s="6">
        <v>8701.66</v>
      </c>
      <c r="K59" s="6">
        <v>3479.39</v>
      </c>
      <c r="L59" s="6">
        <v>9388.7900000000009</v>
      </c>
      <c r="M59" s="6">
        <v>2670.12</v>
      </c>
      <c r="N59" s="6">
        <v>1223.77</v>
      </c>
      <c r="O59" s="7">
        <v>4363.79</v>
      </c>
      <c r="P59" s="6">
        <f t="shared" ref="P59:P62" si="1">O59/O58*100-100</f>
        <v>5.2606314976964228</v>
      </c>
    </row>
    <row r="60" spans="2:16" s="8" customFormat="1" ht="34.9" hidden="1" customHeight="1">
      <c r="B60" s="15">
        <v>39600</v>
      </c>
      <c r="C60" s="11">
        <v>5660</v>
      </c>
      <c r="D60" s="10">
        <v>2341.3000000000002</v>
      </c>
      <c r="E60" s="10">
        <v>2027.3</v>
      </c>
      <c r="F60" s="10">
        <v>1264.0999999999999</v>
      </c>
      <c r="G60" s="10">
        <v>2007.9</v>
      </c>
      <c r="H60" s="10">
        <v>2595.6999999999998</v>
      </c>
      <c r="I60" s="10">
        <v>2101.3000000000002</v>
      </c>
      <c r="J60" s="10">
        <v>10989.5</v>
      </c>
      <c r="K60" s="10">
        <v>3791</v>
      </c>
      <c r="L60" s="10">
        <v>10286.1</v>
      </c>
      <c r="M60" s="10">
        <v>2726.6</v>
      </c>
      <c r="N60" s="10">
        <v>1362.1</v>
      </c>
      <c r="O60" s="11">
        <v>4772.3</v>
      </c>
      <c r="P60" s="10">
        <f t="shared" si="1"/>
        <v>9.3613579021905196</v>
      </c>
    </row>
    <row r="61" spans="2:16" s="8" customFormat="1" ht="34.9" hidden="1" customHeight="1">
      <c r="B61" s="14">
        <v>39630</v>
      </c>
      <c r="C61" s="7">
        <v>5406.9</v>
      </c>
      <c r="D61" s="6">
        <v>2305.9</v>
      </c>
      <c r="E61" s="6">
        <v>2423.5</v>
      </c>
      <c r="F61" s="6">
        <v>1245.3</v>
      </c>
      <c r="G61" s="6">
        <v>1925.6</v>
      </c>
      <c r="H61" s="6">
        <v>2578.9</v>
      </c>
      <c r="I61" s="6">
        <v>1925.3</v>
      </c>
      <c r="J61" s="6">
        <v>10374.6</v>
      </c>
      <c r="K61" s="6">
        <v>3529.7</v>
      </c>
      <c r="L61" s="6">
        <v>9906.2999999999993</v>
      </c>
      <c r="M61" s="6">
        <v>2636.8</v>
      </c>
      <c r="N61" s="6">
        <v>1419.3</v>
      </c>
      <c r="O61" s="7">
        <v>4629.5</v>
      </c>
      <c r="P61" s="6">
        <f t="shared" si="1"/>
        <v>-2.9922678792196677</v>
      </c>
    </row>
    <row r="62" spans="2:16" s="8" customFormat="1" ht="34.9" hidden="1" customHeight="1">
      <c r="B62" s="15">
        <v>39661</v>
      </c>
      <c r="C62" s="11">
        <v>4735.55</v>
      </c>
      <c r="D62" s="10">
        <v>2257.37</v>
      </c>
      <c r="E62" s="10">
        <v>2369.12</v>
      </c>
      <c r="F62" s="10">
        <v>1176.55</v>
      </c>
      <c r="G62" s="10">
        <v>1812.04</v>
      </c>
      <c r="H62" s="10">
        <v>2490.29</v>
      </c>
      <c r="I62" s="10">
        <v>1870.08</v>
      </c>
      <c r="J62" s="10">
        <v>8677.82</v>
      </c>
      <c r="K62" s="10">
        <v>3286.98</v>
      </c>
      <c r="L62" s="10">
        <v>9828.27</v>
      </c>
      <c r="M62" s="10">
        <v>2485.69</v>
      </c>
      <c r="N62" s="10">
        <v>1437.23</v>
      </c>
      <c r="O62" s="11">
        <v>4370.72</v>
      </c>
      <c r="P62" s="10">
        <f t="shared" si="1"/>
        <v>-5.5898045145263922</v>
      </c>
    </row>
    <row r="63" spans="2:16" s="8" customFormat="1" ht="34.9" hidden="1" customHeight="1">
      <c r="B63" s="14">
        <v>39692</v>
      </c>
      <c r="C63" s="7">
        <v>4423.8500000000004</v>
      </c>
      <c r="D63" s="6">
        <v>2167.35</v>
      </c>
      <c r="E63" s="6">
        <v>2078.54</v>
      </c>
      <c r="F63" s="6">
        <v>1068.17</v>
      </c>
      <c r="G63" s="6">
        <v>1819.44</v>
      </c>
      <c r="H63" s="6">
        <v>2509.6999999999998</v>
      </c>
      <c r="I63" s="6">
        <v>1970.35</v>
      </c>
      <c r="J63" s="6">
        <v>7842.85</v>
      </c>
      <c r="K63" s="6">
        <v>3364.53</v>
      </c>
      <c r="L63" s="6">
        <v>9246.07</v>
      </c>
      <c r="M63" s="6">
        <v>2466.71</v>
      </c>
      <c r="N63" s="6">
        <v>1443.41</v>
      </c>
      <c r="O63" s="7">
        <v>4073.81</v>
      </c>
      <c r="P63" s="6">
        <f>O63/O62*100-100</f>
        <v>-6.7931599370355542</v>
      </c>
    </row>
    <row r="64" spans="2:16" s="8" customFormat="1" ht="34.9" hidden="1" customHeight="1">
      <c r="B64" s="15">
        <v>39722</v>
      </c>
      <c r="C64" s="11">
        <v>2917.39</v>
      </c>
      <c r="D64" s="10">
        <v>1987.41</v>
      </c>
      <c r="E64" s="10">
        <v>1689.32</v>
      </c>
      <c r="F64" s="10">
        <v>934.8</v>
      </c>
      <c r="G64" s="10">
        <v>1599.71</v>
      </c>
      <c r="H64" s="10">
        <v>2478.92</v>
      </c>
      <c r="I64" s="10">
        <v>1798.73</v>
      </c>
      <c r="J64" s="10">
        <v>4615.95</v>
      </c>
      <c r="K64" s="10">
        <v>2949.17</v>
      </c>
      <c r="L64" s="10">
        <v>7300.76</v>
      </c>
      <c r="M64" s="10">
        <v>2104</v>
      </c>
      <c r="N64" s="10">
        <v>1098.18</v>
      </c>
      <c r="O64" s="11">
        <v>3172.14</v>
      </c>
      <c r="P64" s="10">
        <f>O64/O63*100-100</f>
        <v>-22.133334642509112</v>
      </c>
    </row>
    <row r="65" spans="2:16" s="8" customFormat="1" ht="34.9" hidden="1" customHeight="1">
      <c r="B65" s="14">
        <v>39753</v>
      </c>
      <c r="C65" s="7">
        <v>2606</v>
      </c>
      <c r="D65" s="6">
        <v>1820.2</v>
      </c>
      <c r="E65" s="6">
        <v>1561.2</v>
      </c>
      <c r="F65" s="6">
        <v>847.8</v>
      </c>
      <c r="G65" s="6">
        <v>1539.5</v>
      </c>
      <c r="H65" s="6">
        <v>2355.4</v>
      </c>
      <c r="I65" s="6">
        <v>1575.4</v>
      </c>
      <c r="J65" s="6">
        <v>4079.8</v>
      </c>
      <c r="K65" s="6">
        <v>2789.8</v>
      </c>
      <c r="L65" s="6">
        <v>6573.3</v>
      </c>
      <c r="M65" s="6">
        <v>1831.2</v>
      </c>
      <c r="N65" s="6">
        <v>1050.0999999999999</v>
      </c>
      <c r="O65" s="7">
        <v>2767.2</v>
      </c>
      <c r="P65" s="6">
        <f>O65/O64*100-100</f>
        <v>-12.765514762904544</v>
      </c>
    </row>
    <row r="66" spans="2:16" s="8" customFormat="1" ht="34.9" hidden="1" customHeight="1">
      <c r="B66" s="15">
        <v>39783</v>
      </c>
      <c r="C66" s="11">
        <v>2736</v>
      </c>
      <c r="D66" s="10">
        <v>1914.1</v>
      </c>
      <c r="E66" s="10">
        <v>1464.1</v>
      </c>
      <c r="F66" s="10">
        <v>803.6</v>
      </c>
      <c r="G66" s="10">
        <v>1539.6</v>
      </c>
      <c r="H66" s="10">
        <v>2308.4</v>
      </c>
      <c r="I66" s="10">
        <v>1608.3</v>
      </c>
      <c r="J66" s="10">
        <v>4380</v>
      </c>
      <c r="K66" s="10">
        <v>2915.7</v>
      </c>
      <c r="L66" s="10">
        <v>5883.8</v>
      </c>
      <c r="M66" s="10">
        <v>2050.1999999999998</v>
      </c>
      <c r="N66" s="10">
        <v>1050.0999999999999</v>
      </c>
      <c r="O66" s="11">
        <v>2758.4</v>
      </c>
      <c r="P66" s="10">
        <f>O66/O65*100-100</f>
        <v>-0.31801098583405008</v>
      </c>
    </row>
    <row r="67" spans="2:16" s="8" customFormat="1" ht="34.9" hidden="1" customHeight="1">
      <c r="B67" s="3">
        <v>2009</v>
      </c>
      <c r="C67" s="93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3"/>
      <c r="P67" s="94"/>
    </row>
    <row r="68" spans="2:16" s="8" customFormat="1" ht="34.9" hidden="1" customHeight="1">
      <c r="B68" s="14">
        <v>39814</v>
      </c>
      <c r="C68" s="7">
        <v>2746.1</v>
      </c>
      <c r="D68" s="6">
        <v>1843</v>
      </c>
      <c r="E68" s="6">
        <v>1546.9</v>
      </c>
      <c r="F68" s="6">
        <v>908.9</v>
      </c>
      <c r="G68" s="6">
        <v>1554.8</v>
      </c>
      <c r="H68" s="6">
        <v>2209.1</v>
      </c>
      <c r="I68" s="6">
        <v>1658.6</v>
      </c>
      <c r="J68" s="6">
        <v>4526.6000000000004</v>
      </c>
      <c r="K68" s="6">
        <v>2768.1</v>
      </c>
      <c r="L68" s="6">
        <v>5061</v>
      </c>
      <c r="M68" s="6">
        <v>2160</v>
      </c>
      <c r="N68" s="6">
        <v>991</v>
      </c>
      <c r="O68" s="7">
        <v>2704</v>
      </c>
      <c r="P68" s="6">
        <f>O68/O66*100-100</f>
        <v>-1.9721577726218129</v>
      </c>
    </row>
    <row r="69" spans="2:16" s="8" customFormat="1" ht="34.9" hidden="1" customHeight="1">
      <c r="B69" s="15">
        <v>39845</v>
      </c>
      <c r="C69" s="11">
        <v>2629.38</v>
      </c>
      <c r="D69" s="10">
        <v>1848.31</v>
      </c>
      <c r="E69" s="10">
        <v>1488.96</v>
      </c>
      <c r="F69" s="10">
        <v>1008.43</v>
      </c>
      <c r="G69" s="10">
        <v>1473.89</v>
      </c>
      <c r="H69" s="10">
        <v>2053.08</v>
      </c>
      <c r="I69" s="10">
        <v>1460.03</v>
      </c>
      <c r="J69" s="10">
        <v>4280.01</v>
      </c>
      <c r="K69" s="10">
        <v>2854.61</v>
      </c>
      <c r="L69" s="10">
        <v>4856.16</v>
      </c>
      <c r="M69" s="10">
        <v>2103.0500000000002</v>
      </c>
      <c r="N69" s="10">
        <v>968.29</v>
      </c>
      <c r="O69" s="11">
        <v>2616.42</v>
      </c>
      <c r="P69" s="10">
        <f>O69/O68*100-100</f>
        <v>-3.2389053254437812</v>
      </c>
    </row>
    <row r="70" spans="2:16" s="8" customFormat="1" ht="34.9" hidden="1" customHeight="1">
      <c r="B70" s="14">
        <v>39873</v>
      </c>
      <c r="C70" s="7">
        <v>2788.69</v>
      </c>
      <c r="D70" s="6">
        <v>1848.57</v>
      </c>
      <c r="E70" s="6">
        <v>1492.1</v>
      </c>
      <c r="F70" s="6">
        <v>930.22</v>
      </c>
      <c r="G70" s="6">
        <v>1490.3</v>
      </c>
      <c r="H70" s="6">
        <v>2015.46</v>
      </c>
      <c r="I70" s="6">
        <v>1483.77</v>
      </c>
      <c r="J70" s="6">
        <v>4698.97</v>
      </c>
      <c r="K70" s="6">
        <v>2930.6</v>
      </c>
      <c r="L70" s="6">
        <v>4966.07</v>
      </c>
      <c r="M70" s="6">
        <v>2136.41</v>
      </c>
      <c r="N70" s="6">
        <v>948.78</v>
      </c>
      <c r="O70" s="7">
        <v>2708.15</v>
      </c>
      <c r="P70" s="6">
        <f>O70/O69*100-100</f>
        <v>3.5059355913805916</v>
      </c>
    </row>
    <row r="71" spans="2:16" s="8" customFormat="1" ht="34.9" hidden="1" customHeight="1">
      <c r="B71" s="15">
        <v>39904</v>
      </c>
      <c r="C71" s="11">
        <v>2672</v>
      </c>
      <c r="D71" s="10">
        <v>1839.81</v>
      </c>
      <c r="E71" s="10">
        <v>1510.9</v>
      </c>
      <c r="F71" s="10">
        <v>869.38</v>
      </c>
      <c r="G71" s="10">
        <v>1520.68</v>
      </c>
      <c r="H71" s="10">
        <v>1875.66</v>
      </c>
      <c r="I71" s="10">
        <v>1756.77</v>
      </c>
      <c r="J71" s="10">
        <v>4297.51</v>
      </c>
      <c r="K71" s="10">
        <v>3027.61</v>
      </c>
      <c r="L71" s="10">
        <v>5191.4399999999996</v>
      </c>
      <c r="M71" s="10">
        <v>2096.8000000000002</v>
      </c>
      <c r="N71" s="10">
        <v>1007.33</v>
      </c>
      <c r="O71" s="11">
        <v>2736.5</v>
      </c>
      <c r="P71" s="10">
        <f>O71/O70*100-100</f>
        <v>1.0468400937909621</v>
      </c>
    </row>
    <row r="72" spans="2:16" s="8" customFormat="1" ht="34.9" hidden="1" customHeight="1">
      <c r="B72" s="14">
        <v>39934</v>
      </c>
      <c r="C72" s="7">
        <v>3117.8</v>
      </c>
      <c r="D72" s="6">
        <v>1805.1</v>
      </c>
      <c r="E72" s="6">
        <v>1447.5</v>
      </c>
      <c r="F72" s="6">
        <v>816</v>
      </c>
      <c r="G72" s="6">
        <v>1530.4</v>
      </c>
      <c r="H72" s="6">
        <v>1847</v>
      </c>
      <c r="I72" s="6">
        <v>1874.1</v>
      </c>
      <c r="J72" s="6">
        <v>5587.6</v>
      </c>
      <c r="K72" s="6">
        <v>2589.8000000000002</v>
      </c>
      <c r="L72" s="6">
        <v>5330.9</v>
      </c>
      <c r="M72" s="6">
        <v>1996.6</v>
      </c>
      <c r="N72" s="6">
        <v>1078</v>
      </c>
      <c r="O72" s="7">
        <v>2864.6</v>
      </c>
      <c r="P72" s="6">
        <f t="shared" ref="P72:P75" si="2">O72/O71*100-100</f>
        <v>4.6811620683354676</v>
      </c>
    </row>
    <row r="73" spans="2:16" s="8" customFormat="1" ht="34.9" hidden="1" customHeight="1">
      <c r="B73" s="15">
        <v>39965</v>
      </c>
      <c r="C73" s="11">
        <v>2935.3</v>
      </c>
      <c r="D73" s="10">
        <v>1978.9</v>
      </c>
      <c r="E73" s="10">
        <v>1430</v>
      </c>
      <c r="F73" s="10">
        <v>756</v>
      </c>
      <c r="G73" s="10">
        <v>1465.9</v>
      </c>
      <c r="H73" s="10">
        <v>1826.8</v>
      </c>
      <c r="I73" s="10">
        <v>1911.1</v>
      </c>
      <c r="J73" s="10">
        <v>5084.1000000000004</v>
      </c>
      <c r="K73" s="10">
        <v>2220.8000000000002</v>
      </c>
      <c r="L73" s="10">
        <v>5790</v>
      </c>
      <c r="M73" s="10">
        <v>1964.1</v>
      </c>
      <c r="N73" s="10">
        <v>1170.7</v>
      </c>
      <c r="O73" s="11">
        <v>2735.2</v>
      </c>
      <c r="P73" s="10">
        <f t="shared" si="2"/>
        <v>-4.5172100816867982</v>
      </c>
    </row>
    <row r="74" spans="2:16" s="8" customFormat="1" ht="34.9" hidden="1" customHeight="1">
      <c r="B74" s="14">
        <v>39995</v>
      </c>
      <c r="C74" s="7">
        <v>2885.2</v>
      </c>
      <c r="D74" s="6">
        <v>1938.7</v>
      </c>
      <c r="E74" s="6">
        <v>1466.2</v>
      </c>
      <c r="F74" s="6">
        <v>732.1</v>
      </c>
      <c r="G74" s="6">
        <v>1399.9</v>
      </c>
      <c r="H74" s="6">
        <v>1801.4</v>
      </c>
      <c r="I74" s="6">
        <v>1963.6</v>
      </c>
      <c r="J74" s="6">
        <v>5043.1000000000004</v>
      </c>
      <c r="K74" s="6">
        <v>2037.96</v>
      </c>
      <c r="L74" s="6">
        <v>5183.5</v>
      </c>
      <c r="M74" s="6">
        <v>1865.8</v>
      </c>
      <c r="N74" s="6">
        <v>1130.8</v>
      </c>
      <c r="O74" s="7">
        <v>2618.8000000000002</v>
      </c>
      <c r="P74" s="6">
        <f t="shared" si="2"/>
        <v>-4.2556303012576677</v>
      </c>
    </row>
    <row r="75" spans="2:16" s="8" customFormat="1" ht="34.9" hidden="1" customHeight="1">
      <c r="B75" s="15">
        <v>40026</v>
      </c>
      <c r="C75" s="11">
        <v>2868.1</v>
      </c>
      <c r="D75" s="10">
        <v>1969.2</v>
      </c>
      <c r="E75" s="10">
        <v>1533.2</v>
      </c>
      <c r="F75" s="10">
        <v>791.3</v>
      </c>
      <c r="G75" s="10">
        <v>1369.8</v>
      </c>
      <c r="H75" s="10">
        <v>1891.7</v>
      </c>
      <c r="I75" s="10">
        <v>1860.5</v>
      </c>
      <c r="J75" s="10">
        <v>4953.6000000000004</v>
      </c>
      <c r="K75" s="10">
        <v>1989.4</v>
      </c>
      <c r="L75" s="10">
        <v>5312.3</v>
      </c>
      <c r="M75" s="10">
        <v>1895.8</v>
      </c>
      <c r="N75" s="10">
        <v>1632.3</v>
      </c>
      <c r="O75" s="11">
        <v>2564.5</v>
      </c>
      <c r="P75" s="10">
        <f t="shared" si="2"/>
        <v>-2.0734687643195429</v>
      </c>
    </row>
    <row r="76" spans="2:16" s="8" customFormat="1" ht="34.9" hidden="1" customHeight="1">
      <c r="B76" s="14">
        <v>40057</v>
      </c>
      <c r="C76" s="7">
        <v>2791.9</v>
      </c>
      <c r="D76" s="6">
        <v>1966.7</v>
      </c>
      <c r="E76" s="6">
        <v>1684</v>
      </c>
      <c r="F76" s="6">
        <v>800.9</v>
      </c>
      <c r="G76" s="6">
        <v>1445.4</v>
      </c>
      <c r="H76" s="6">
        <v>1887.1</v>
      </c>
      <c r="I76" s="6">
        <v>2036.2</v>
      </c>
      <c r="J76" s="6">
        <v>4631.3999999999996</v>
      </c>
      <c r="K76" s="6">
        <v>2183.1</v>
      </c>
      <c r="L76" s="6">
        <v>5425.1</v>
      </c>
      <c r="M76" s="6">
        <v>1972.3</v>
      </c>
      <c r="N76" s="6">
        <v>1649.7</v>
      </c>
      <c r="O76" s="7">
        <v>2688.2</v>
      </c>
      <c r="P76" s="6">
        <f>O76/O75*100-100</f>
        <v>4.8235523493858352</v>
      </c>
    </row>
    <row r="77" spans="2:16" s="8" customFormat="1" ht="34.9" hidden="1" customHeight="1">
      <c r="B77" s="15">
        <v>40087</v>
      </c>
      <c r="C77" s="11">
        <v>2656</v>
      </c>
      <c r="D77" s="10">
        <v>2003.5</v>
      </c>
      <c r="E77" s="10">
        <v>1652.3</v>
      </c>
      <c r="F77" s="10">
        <v>713</v>
      </c>
      <c r="G77" s="10">
        <v>1446.1</v>
      </c>
      <c r="H77" s="10">
        <v>1968.5</v>
      </c>
      <c r="I77" s="10">
        <v>2036.4</v>
      </c>
      <c r="J77" s="10">
        <v>4306</v>
      </c>
      <c r="K77" s="10">
        <v>2064.1</v>
      </c>
      <c r="L77" s="10">
        <v>5111</v>
      </c>
      <c r="M77" s="10">
        <v>1931.2</v>
      </c>
      <c r="N77" s="10">
        <v>1542.7</v>
      </c>
      <c r="O77" s="11">
        <v>2615.9</v>
      </c>
      <c r="P77" s="10">
        <f>O77/O76*100-100</f>
        <v>-2.6895320288668927</v>
      </c>
    </row>
    <row r="78" spans="2:16" s="8" customFormat="1" ht="34.9" hidden="1" customHeight="1">
      <c r="B78" s="14">
        <v>40118</v>
      </c>
      <c r="C78" s="7">
        <v>2721.2</v>
      </c>
      <c r="D78" s="6">
        <v>1979.6</v>
      </c>
      <c r="E78" s="6">
        <v>1687.6</v>
      </c>
      <c r="F78" s="6">
        <v>710.6</v>
      </c>
      <c r="G78" s="6">
        <v>1424.1</v>
      </c>
      <c r="H78" s="6">
        <v>1860.8</v>
      </c>
      <c r="I78" s="6">
        <v>2063</v>
      </c>
      <c r="J78" s="6">
        <v>4519.3</v>
      </c>
      <c r="K78" s="6">
        <v>1996.8</v>
      </c>
      <c r="L78" s="6">
        <v>4977.6000000000004</v>
      </c>
      <c r="M78" s="6">
        <v>1940.1</v>
      </c>
      <c r="N78" s="6">
        <v>1349.9</v>
      </c>
      <c r="O78" s="7">
        <v>2583.5</v>
      </c>
      <c r="P78" s="6">
        <f>O78/O77*100-100</f>
        <v>-1.23857945640124</v>
      </c>
    </row>
    <row r="79" spans="2:16" s="8" customFormat="1" ht="34.9" hidden="1" customHeight="1">
      <c r="B79" s="15">
        <v>40148</v>
      </c>
      <c r="C79" s="11">
        <v>2738.8</v>
      </c>
      <c r="D79" s="10">
        <v>1994.6</v>
      </c>
      <c r="E79" s="10">
        <v>1639.1</v>
      </c>
      <c r="F79" s="10">
        <v>517.29999999999995</v>
      </c>
      <c r="G79" s="10">
        <v>1459</v>
      </c>
      <c r="H79" s="10">
        <v>1924.4</v>
      </c>
      <c r="I79" s="10">
        <v>2065.9</v>
      </c>
      <c r="J79" s="10">
        <v>4587.1000000000004</v>
      </c>
      <c r="K79" s="10">
        <v>1973.4</v>
      </c>
      <c r="L79" s="10">
        <v>4909.7</v>
      </c>
      <c r="M79" s="10">
        <v>1965.9</v>
      </c>
      <c r="N79" s="10">
        <v>978.9</v>
      </c>
      <c r="O79" s="11">
        <v>2533.5</v>
      </c>
      <c r="P79" s="10">
        <f>O79/O78*100-100</f>
        <v>-1.9353590090961887</v>
      </c>
    </row>
    <row r="80" spans="2:16" s="8" customFormat="1" ht="34.9" hidden="1" customHeight="1">
      <c r="B80" s="3">
        <v>2010</v>
      </c>
      <c r="C80" s="93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4"/>
    </row>
    <row r="81" spans="2:16" s="8" customFormat="1" ht="34.9" hidden="1" customHeight="1">
      <c r="B81" s="14">
        <v>40179</v>
      </c>
      <c r="C81" s="7">
        <v>2752.4</v>
      </c>
      <c r="D81" s="6">
        <v>1998.7</v>
      </c>
      <c r="E81" s="6">
        <v>1589.8</v>
      </c>
      <c r="F81" s="6">
        <v>496.6</v>
      </c>
      <c r="G81" s="6">
        <v>1427.8</v>
      </c>
      <c r="H81" s="6">
        <v>1849.5</v>
      </c>
      <c r="I81" s="6">
        <v>2141.1999999999998</v>
      </c>
      <c r="J81" s="6">
        <v>4660.3999999999996</v>
      </c>
      <c r="K81" s="6">
        <v>1889.5</v>
      </c>
      <c r="L81" s="6">
        <v>4755.5</v>
      </c>
      <c r="M81" s="6">
        <v>1982.7</v>
      </c>
      <c r="N81" s="6">
        <v>856.3</v>
      </c>
      <c r="O81" s="7">
        <v>2525.1</v>
      </c>
      <c r="P81" s="6">
        <f>O81/O79*100-100</f>
        <v>-0.33155713439904844</v>
      </c>
    </row>
    <row r="82" spans="2:16" s="8" customFormat="1" ht="34.9" hidden="1" customHeight="1">
      <c r="B82" s="15">
        <v>40210</v>
      </c>
      <c r="C82" s="11">
        <v>2659.6</v>
      </c>
      <c r="D82" s="10">
        <v>1976.3</v>
      </c>
      <c r="E82" s="10">
        <v>1566.6</v>
      </c>
      <c r="F82" s="10">
        <v>416.4</v>
      </c>
      <c r="G82" s="10">
        <v>1385.1</v>
      </c>
      <c r="H82" s="10">
        <v>1761.8</v>
      </c>
      <c r="I82" s="10">
        <v>2171.9</v>
      </c>
      <c r="J82" s="10">
        <v>4457.3</v>
      </c>
      <c r="K82" s="10">
        <v>1831.4</v>
      </c>
      <c r="L82" s="10">
        <v>4603.3999999999996</v>
      </c>
      <c r="M82" s="10">
        <v>1996.8</v>
      </c>
      <c r="N82" s="10">
        <v>751.6</v>
      </c>
      <c r="O82" s="11">
        <v>2470.9</v>
      </c>
      <c r="P82" s="10">
        <f>O82/O81*100-100</f>
        <v>-2.146449645558576</v>
      </c>
    </row>
    <row r="83" spans="2:16" s="8" customFormat="1" ht="34.9" hidden="1" customHeight="1">
      <c r="B83" s="14">
        <v>40238</v>
      </c>
      <c r="C83" s="7">
        <v>2685.5</v>
      </c>
      <c r="D83" s="6">
        <v>1954</v>
      </c>
      <c r="E83" s="6">
        <v>1567.6</v>
      </c>
      <c r="F83" s="6">
        <v>444.5</v>
      </c>
      <c r="G83" s="6">
        <v>1454.1</v>
      </c>
      <c r="H83" s="6">
        <v>1665.4</v>
      </c>
      <c r="I83" s="6">
        <v>2004.3</v>
      </c>
      <c r="J83" s="6">
        <v>4554</v>
      </c>
      <c r="K83" s="6">
        <v>1983.6</v>
      </c>
      <c r="L83" s="6">
        <v>4601.1000000000004</v>
      </c>
      <c r="M83" s="6">
        <v>2030.1</v>
      </c>
      <c r="N83" s="6">
        <v>838.1</v>
      </c>
      <c r="O83" s="7">
        <v>2517.6999999999998</v>
      </c>
      <c r="P83" s="6">
        <f>O83/O82*100-100</f>
        <v>1.8940467036302522</v>
      </c>
    </row>
    <row r="84" spans="2:16" s="8" customFormat="1" ht="34.9" hidden="1" customHeight="1">
      <c r="B84" s="15">
        <v>40269</v>
      </c>
      <c r="C84" s="11">
        <v>2734.8</v>
      </c>
      <c r="D84" s="10">
        <v>2061.1999999999998</v>
      </c>
      <c r="E84" s="10">
        <v>1544.8</v>
      </c>
      <c r="F84" s="10">
        <v>634.6</v>
      </c>
      <c r="G84" s="10">
        <v>1478.5</v>
      </c>
      <c r="H84" s="10">
        <v>1624.3</v>
      </c>
      <c r="I84" s="10">
        <v>2277.8000000000002</v>
      </c>
      <c r="J84" s="10">
        <v>4580.3</v>
      </c>
      <c r="K84" s="10">
        <v>2052.9</v>
      </c>
      <c r="L84" s="10">
        <v>4560.2</v>
      </c>
      <c r="M84" s="10">
        <v>2015.7</v>
      </c>
      <c r="N84" s="10">
        <v>861.9</v>
      </c>
      <c r="O84" s="11">
        <v>2575.5</v>
      </c>
      <c r="P84" s="10">
        <f>O84/O83*100-100</f>
        <v>2.2957461174881928</v>
      </c>
    </row>
    <row r="85" spans="2:16" s="8" customFormat="1" ht="34.9" hidden="1" customHeight="1">
      <c r="B85" s="14">
        <v>40299</v>
      </c>
      <c r="C85" s="7">
        <v>2531.5</v>
      </c>
      <c r="D85" s="6">
        <v>2009.5</v>
      </c>
      <c r="E85" s="6">
        <v>1534</v>
      </c>
      <c r="F85" s="6">
        <v>481.1</v>
      </c>
      <c r="G85" s="6">
        <v>1461.4</v>
      </c>
      <c r="H85" s="6">
        <v>1602.9</v>
      </c>
      <c r="I85" s="6">
        <v>2413.9</v>
      </c>
      <c r="J85" s="6">
        <v>4022.1</v>
      </c>
      <c r="K85" s="6">
        <v>1999.3</v>
      </c>
      <c r="L85" s="6">
        <v>4419.7</v>
      </c>
      <c r="M85" s="6">
        <v>1937.9</v>
      </c>
      <c r="N85" s="6">
        <v>748.3</v>
      </c>
      <c r="O85" s="7">
        <v>2401.6</v>
      </c>
      <c r="P85" s="6">
        <f t="shared" ref="P85:P88" si="3">O85/O84*100-100</f>
        <v>-6.7520869734032232</v>
      </c>
    </row>
    <row r="86" spans="2:16" s="8" customFormat="1" ht="34.9" hidden="1" customHeight="1">
      <c r="B86" s="15">
        <v>40330</v>
      </c>
      <c r="C86" s="11">
        <v>2483.48</v>
      </c>
      <c r="D86" s="10">
        <v>2015.77</v>
      </c>
      <c r="E86" s="10">
        <v>1511.48</v>
      </c>
      <c r="F86" s="10">
        <v>397.41</v>
      </c>
      <c r="G86" s="10">
        <v>1424.44</v>
      </c>
      <c r="H86" s="10">
        <v>1466.27</v>
      </c>
      <c r="I86" s="10">
        <v>2283.85</v>
      </c>
      <c r="J86" s="10">
        <v>3951.11</v>
      </c>
      <c r="K86" s="10">
        <v>1995.56</v>
      </c>
      <c r="L86" s="10">
        <v>4255.2700000000004</v>
      </c>
      <c r="M86" s="10">
        <v>1972.86</v>
      </c>
      <c r="N86" s="10">
        <v>821.24</v>
      </c>
      <c r="O86" s="11">
        <v>2348.56</v>
      </c>
      <c r="P86" s="10">
        <f t="shared" si="3"/>
        <v>-2.208527648234508</v>
      </c>
    </row>
    <row r="87" spans="2:16" s="8" customFormat="1" ht="34.9" hidden="1" customHeight="1">
      <c r="B87" s="14">
        <v>40360</v>
      </c>
      <c r="C87" s="7">
        <v>2422.6799999999998</v>
      </c>
      <c r="D87" s="6">
        <v>1991.38</v>
      </c>
      <c r="E87" s="6">
        <v>1562.04</v>
      </c>
      <c r="F87" s="6">
        <v>401.86</v>
      </c>
      <c r="G87" s="6">
        <v>1371.04</v>
      </c>
      <c r="H87" s="6">
        <v>1495.37</v>
      </c>
      <c r="I87" s="6">
        <v>2337.09</v>
      </c>
      <c r="J87" s="6">
        <v>3749.85</v>
      </c>
      <c r="K87" s="6">
        <v>1968.78</v>
      </c>
      <c r="L87" s="6">
        <v>4097.41</v>
      </c>
      <c r="M87" s="6">
        <v>1938.54</v>
      </c>
      <c r="N87" s="6">
        <v>1395.47</v>
      </c>
      <c r="O87" s="7">
        <v>2334.77</v>
      </c>
      <c r="P87" s="6">
        <f t="shared" si="3"/>
        <v>-0.58716830738835313</v>
      </c>
    </row>
    <row r="88" spans="2:16" s="8" customFormat="1" ht="34.9" hidden="1" customHeight="1">
      <c r="B88" s="15">
        <v>40391</v>
      </c>
      <c r="C88" s="11">
        <v>2329.9</v>
      </c>
      <c r="D88" s="10">
        <v>1977.76</v>
      </c>
      <c r="E88" s="10">
        <v>1519.78</v>
      </c>
      <c r="F88" s="10">
        <v>435.99</v>
      </c>
      <c r="G88" s="10">
        <v>1366.05</v>
      </c>
      <c r="H88" s="10">
        <v>1531.01</v>
      </c>
      <c r="I88" s="10">
        <v>2338.69</v>
      </c>
      <c r="J88" s="10">
        <v>3514.83</v>
      </c>
      <c r="K88" s="10">
        <v>1923.98</v>
      </c>
      <c r="L88" s="10">
        <v>3666.33</v>
      </c>
      <c r="M88" s="10">
        <v>1902.13</v>
      </c>
      <c r="N88" s="10">
        <v>1865.08</v>
      </c>
      <c r="O88" s="11">
        <v>2249</v>
      </c>
      <c r="P88" s="10">
        <f t="shared" si="3"/>
        <v>-3.673595257776995</v>
      </c>
    </row>
    <row r="89" spans="2:16" s="8" customFormat="1" ht="34.9" hidden="1" customHeight="1">
      <c r="B89" s="14">
        <v>40422</v>
      </c>
      <c r="C89" s="7">
        <v>2389.4</v>
      </c>
      <c r="D89" s="6">
        <v>1995.2</v>
      </c>
      <c r="E89" s="6">
        <v>1535</v>
      </c>
      <c r="F89" s="6">
        <v>424.9</v>
      </c>
      <c r="G89" s="6">
        <v>1474.8</v>
      </c>
      <c r="H89" s="6">
        <v>1481</v>
      </c>
      <c r="I89" s="6">
        <v>2436.6</v>
      </c>
      <c r="J89" s="6">
        <v>3687.9</v>
      </c>
      <c r="K89" s="6">
        <v>1936.1</v>
      </c>
      <c r="L89" s="6">
        <v>3448.9</v>
      </c>
      <c r="M89" s="6">
        <v>1989.6</v>
      </c>
      <c r="N89" s="6">
        <v>1592.4</v>
      </c>
      <c r="O89" s="7">
        <v>2306.5</v>
      </c>
      <c r="P89" s="6">
        <f>O89/O88*100-100</f>
        <v>2.5566918630502471</v>
      </c>
    </row>
    <row r="90" spans="2:16" s="8" customFormat="1" ht="34.9" hidden="1" customHeight="1">
      <c r="B90" s="15">
        <v>40452</v>
      </c>
      <c r="C90" s="11">
        <v>2469</v>
      </c>
      <c r="D90" s="10">
        <v>2063.5</v>
      </c>
      <c r="E90" s="10">
        <v>1496.7</v>
      </c>
      <c r="F90" s="10">
        <v>381.1</v>
      </c>
      <c r="G90" s="10">
        <v>1408.7</v>
      </c>
      <c r="H90" s="10">
        <v>1563.5</v>
      </c>
      <c r="I90" s="10">
        <v>2664.8</v>
      </c>
      <c r="J90" s="10">
        <v>3926.3</v>
      </c>
      <c r="K90" s="10">
        <v>1878.4</v>
      </c>
      <c r="L90" s="10">
        <v>3339.1</v>
      </c>
      <c r="M90" s="10">
        <v>1942.9</v>
      </c>
      <c r="N90" s="10">
        <v>1045.7</v>
      </c>
      <c r="O90" s="11">
        <v>2335.6</v>
      </c>
      <c r="P90" s="10">
        <f>O90/O89*100-100</f>
        <v>1.2616518534576073</v>
      </c>
    </row>
    <row r="91" spans="2:16" s="8" customFormat="1" ht="34.9" hidden="1" customHeight="1">
      <c r="B91" s="14">
        <v>40483</v>
      </c>
      <c r="C91" s="7">
        <v>2490.1</v>
      </c>
      <c r="D91" s="6">
        <v>2133</v>
      </c>
      <c r="E91" s="6">
        <v>1493.3</v>
      </c>
      <c r="F91" s="6">
        <v>363.7</v>
      </c>
      <c r="G91" s="6">
        <v>1424.2</v>
      </c>
      <c r="H91" s="6">
        <v>1600.4</v>
      </c>
      <c r="I91" s="6">
        <v>2634.6</v>
      </c>
      <c r="J91" s="6">
        <v>3961.2</v>
      </c>
      <c r="K91" s="6">
        <v>1903.5</v>
      </c>
      <c r="L91" s="6">
        <v>3394.9</v>
      </c>
      <c r="M91" s="6">
        <v>1931.7</v>
      </c>
      <c r="N91" s="6">
        <v>809.3</v>
      </c>
      <c r="O91" s="7">
        <v>2354.6</v>
      </c>
      <c r="P91" s="6">
        <f>O91/O90*100-100</f>
        <v>0.813495461551625</v>
      </c>
    </row>
    <row r="92" spans="2:16" s="8" customFormat="1" ht="34.9" hidden="1" customHeight="1">
      <c r="B92" s="15">
        <v>40513</v>
      </c>
      <c r="C92" s="11">
        <v>2576.6</v>
      </c>
      <c r="D92" s="10">
        <v>2070.5</v>
      </c>
      <c r="E92" s="10">
        <v>1530</v>
      </c>
      <c r="F92" s="10">
        <v>350.5</v>
      </c>
      <c r="G92" s="10">
        <v>1418.6</v>
      </c>
      <c r="H92" s="10">
        <v>1509.5</v>
      </c>
      <c r="I92" s="10">
        <v>2659.1</v>
      </c>
      <c r="J92" s="10">
        <v>4210.8999999999996</v>
      </c>
      <c r="K92" s="10">
        <v>1915.2</v>
      </c>
      <c r="L92" s="10">
        <v>3717.4</v>
      </c>
      <c r="M92" s="10">
        <v>1928.6</v>
      </c>
      <c r="N92" s="10">
        <v>735.2</v>
      </c>
      <c r="O92" s="11">
        <v>2373.6</v>
      </c>
      <c r="P92" s="10">
        <f>O92/O91*100-100</f>
        <v>0.80693111356492864</v>
      </c>
    </row>
    <row r="93" spans="2:16" s="8" customFormat="1" ht="34.9" hidden="1" customHeight="1">
      <c r="B93" s="3">
        <v>2011</v>
      </c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3"/>
      <c r="P93" s="94"/>
    </row>
    <row r="94" spans="2:16" s="8" customFormat="1" ht="34.9" hidden="1" customHeight="1">
      <c r="B94" s="14">
        <v>40544</v>
      </c>
      <c r="C94" s="7">
        <v>2568.4</v>
      </c>
      <c r="D94" s="6">
        <v>2005.9</v>
      </c>
      <c r="E94" s="6">
        <v>1492.6</v>
      </c>
      <c r="F94" s="6">
        <v>316.10000000000002</v>
      </c>
      <c r="G94" s="6">
        <v>1451.4</v>
      </c>
      <c r="H94" s="6">
        <v>1540.9</v>
      </c>
      <c r="I94" s="6">
        <v>2779.1</v>
      </c>
      <c r="J94" s="6">
        <v>4129.3</v>
      </c>
      <c r="K94" s="6">
        <v>1883.9</v>
      </c>
      <c r="L94" s="6">
        <v>4068.7</v>
      </c>
      <c r="M94" s="6">
        <v>1922.3</v>
      </c>
      <c r="N94" s="6">
        <v>721.8</v>
      </c>
      <c r="O94" s="7">
        <v>2373.8000000000002</v>
      </c>
      <c r="P94" s="6">
        <f>O94/O92*100-100</f>
        <v>8.4260195483807365E-3</v>
      </c>
    </row>
    <row r="95" spans="2:16" s="8" customFormat="1" ht="34.9" hidden="1" customHeight="1">
      <c r="B95" s="15">
        <v>40575</v>
      </c>
      <c r="C95" s="11">
        <v>2427.5</v>
      </c>
      <c r="D95" s="10">
        <v>2047.1</v>
      </c>
      <c r="E95" s="10">
        <v>1477.3</v>
      </c>
      <c r="F95" s="10">
        <v>297.89999999999998</v>
      </c>
      <c r="G95" s="10">
        <v>1396</v>
      </c>
      <c r="H95" s="10">
        <v>1468.7</v>
      </c>
      <c r="I95" s="10">
        <v>3515.5</v>
      </c>
      <c r="J95" s="10">
        <v>3718</v>
      </c>
      <c r="K95" s="10">
        <v>1845.9</v>
      </c>
      <c r="L95" s="10">
        <v>3226.4</v>
      </c>
      <c r="M95" s="10">
        <v>1921.6</v>
      </c>
      <c r="N95" s="10">
        <v>587.20000000000005</v>
      </c>
      <c r="O95" s="11">
        <v>2251.6999999999998</v>
      </c>
      <c r="P95" s="10">
        <f>O95/O94*100-100</f>
        <v>-5.1436515291937184</v>
      </c>
    </row>
    <row r="96" spans="2:16" s="8" customFormat="1" ht="34.9" hidden="1" customHeight="1">
      <c r="B96" s="14">
        <v>40603</v>
      </c>
      <c r="C96" s="7">
        <v>2293.3000000000002</v>
      </c>
      <c r="D96" s="6">
        <v>2049.9</v>
      </c>
      <c r="E96" s="6">
        <v>1443</v>
      </c>
      <c r="F96" s="6">
        <v>278.8</v>
      </c>
      <c r="G96" s="6">
        <v>1290.8</v>
      </c>
      <c r="H96" s="6">
        <v>1432.1</v>
      </c>
      <c r="I96" s="6">
        <v>2931.4</v>
      </c>
      <c r="J96" s="6">
        <v>3520</v>
      </c>
      <c r="K96" s="6">
        <v>1786.3</v>
      </c>
      <c r="L96" s="6">
        <v>2887.9</v>
      </c>
      <c r="M96" s="6">
        <v>1939.2</v>
      </c>
      <c r="N96" s="6">
        <v>506</v>
      </c>
      <c r="O96" s="7">
        <v>2175.6</v>
      </c>
      <c r="P96" s="6">
        <f>O96/O95*100-100</f>
        <v>-3.37966869476395</v>
      </c>
    </row>
    <row r="97" spans="2:16" s="8" customFormat="1" ht="34.9" hidden="1" customHeight="1">
      <c r="B97" s="15">
        <v>40634</v>
      </c>
      <c r="C97" s="11">
        <v>2360.5</v>
      </c>
      <c r="D97" s="10">
        <v>1961.3</v>
      </c>
      <c r="E97" s="10">
        <v>1443.9</v>
      </c>
      <c r="F97" s="10">
        <v>299.5</v>
      </c>
      <c r="G97" s="10">
        <v>1353.4</v>
      </c>
      <c r="H97" s="10">
        <v>1449.2</v>
      </c>
      <c r="I97" s="10">
        <v>3204.4</v>
      </c>
      <c r="J97" s="10">
        <v>3671.7</v>
      </c>
      <c r="K97" s="10">
        <v>1813.3</v>
      </c>
      <c r="L97" s="10">
        <v>3045.2</v>
      </c>
      <c r="M97" s="10">
        <v>1907.2</v>
      </c>
      <c r="N97" s="10">
        <v>545</v>
      </c>
      <c r="O97" s="11">
        <v>2198</v>
      </c>
      <c r="P97" s="10">
        <f>O97/O96*100-100</f>
        <v>1.0296010296010394</v>
      </c>
    </row>
    <row r="98" spans="2:16" s="8" customFormat="1" ht="34.9" hidden="1" customHeight="1">
      <c r="B98" s="14">
        <v>40664</v>
      </c>
      <c r="C98" s="7">
        <v>2285.8000000000002</v>
      </c>
      <c r="D98" s="6">
        <v>2027.1</v>
      </c>
      <c r="E98" s="6">
        <v>1407.6</v>
      </c>
      <c r="F98" s="6">
        <v>289.8</v>
      </c>
      <c r="G98" s="6">
        <v>1735.3</v>
      </c>
      <c r="H98" s="6">
        <v>1457.6</v>
      </c>
      <c r="I98" s="6">
        <v>2841.9</v>
      </c>
      <c r="J98" s="6">
        <v>3519.9</v>
      </c>
      <c r="K98" s="6">
        <v>1913.9</v>
      </c>
      <c r="L98" s="6">
        <v>2712.7</v>
      </c>
      <c r="M98" s="6">
        <v>1921.3</v>
      </c>
      <c r="N98" s="6">
        <v>628.1</v>
      </c>
      <c r="O98" s="7">
        <v>2159.8000000000002</v>
      </c>
      <c r="P98" s="6">
        <f t="shared" ref="P98:P101" si="4">O98/O97*100-100</f>
        <v>-1.7379435850773461</v>
      </c>
    </row>
    <row r="99" spans="2:16" s="8" customFormat="1" ht="34.9" hidden="1" customHeight="1">
      <c r="B99" s="15">
        <v>40695</v>
      </c>
      <c r="C99" s="11">
        <v>2219</v>
      </c>
      <c r="D99" s="10">
        <v>1947</v>
      </c>
      <c r="E99" s="10">
        <v>1390</v>
      </c>
      <c r="F99" s="10">
        <v>228</v>
      </c>
      <c r="G99" s="10">
        <v>1820.6</v>
      </c>
      <c r="H99" s="10">
        <v>1448.1</v>
      </c>
      <c r="I99" s="10">
        <v>2903.2</v>
      </c>
      <c r="J99" s="10">
        <v>3471.7</v>
      </c>
      <c r="K99" s="10">
        <v>1929.4</v>
      </c>
      <c r="L99" s="10">
        <v>2266</v>
      </c>
      <c r="M99" s="10">
        <v>1795.4</v>
      </c>
      <c r="N99" s="10">
        <v>509.4</v>
      </c>
      <c r="O99" s="11">
        <v>2093.5</v>
      </c>
      <c r="P99" s="10">
        <f t="shared" si="4"/>
        <v>-3.069728678581356</v>
      </c>
    </row>
    <row r="100" spans="2:16" s="8" customFormat="1" ht="34.9" hidden="1" customHeight="1">
      <c r="B100" s="14">
        <v>40725</v>
      </c>
      <c r="C100" s="7">
        <v>2256.9</v>
      </c>
      <c r="D100" s="6">
        <v>1933.5</v>
      </c>
      <c r="E100" s="6">
        <v>1343</v>
      </c>
      <c r="F100" s="6">
        <v>246</v>
      </c>
      <c r="G100" s="6">
        <v>1830.6</v>
      </c>
      <c r="H100" s="6">
        <v>1454.3</v>
      </c>
      <c r="I100" s="6">
        <v>2982.5</v>
      </c>
      <c r="J100" s="6">
        <v>3549.3</v>
      </c>
      <c r="K100" s="6">
        <v>1964.9</v>
      </c>
      <c r="L100" s="6">
        <v>2352.3000000000002</v>
      </c>
      <c r="M100" s="6">
        <v>1854.4</v>
      </c>
      <c r="N100" s="6">
        <v>455.6</v>
      </c>
      <c r="O100" s="7">
        <v>2082.8000000000002</v>
      </c>
      <c r="P100" s="6">
        <f t="shared" si="4"/>
        <v>-0.51110580367804914</v>
      </c>
    </row>
    <row r="101" spans="2:16" s="8" customFormat="1" ht="34.9" hidden="1" customHeight="1">
      <c r="B101" s="15">
        <v>40756</v>
      </c>
      <c r="C101" s="11">
        <v>2197.1999999999998</v>
      </c>
      <c r="D101" s="10">
        <v>1923.8</v>
      </c>
      <c r="E101" s="10">
        <v>1348.2</v>
      </c>
      <c r="F101" s="10">
        <v>220.9</v>
      </c>
      <c r="G101" s="10">
        <v>1763.9</v>
      </c>
      <c r="H101" s="10">
        <v>1449.3</v>
      </c>
      <c r="I101" s="10">
        <v>2824.8</v>
      </c>
      <c r="J101" s="10">
        <v>3410.3</v>
      </c>
      <c r="K101" s="10">
        <v>1914.9</v>
      </c>
      <c r="L101" s="10">
        <v>2399.4</v>
      </c>
      <c r="M101" s="10">
        <v>1815.8</v>
      </c>
      <c r="N101" s="10">
        <v>506.7</v>
      </c>
      <c r="O101" s="11">
        <v>2036.4</v>
      </c>
      <c r="P101" s="10">
        <f t="shared" si="4"/>
        <v>-2.2277703091991583</v>
      </c>
    </row>
    <row r="102" spans="2:16" s="8" customFormat="1" ht="34.9" hidden="1" customHeight="1">
      <c r="B102" s="14">
        <v>40787</v>
      </c>
      <c r="C102" s="7">
        <v>2144.8000000000002</v>
      </c>
      <c r="D102" s="6">
        <v>1974.3</v>
      </c>
      <c r="E102" s="6">
        <v>1342.3</v>
      </c>
      <c r="F102" s="6">
        <v>291.2</v>
      </c>
      <c r="G102" s="6">
        <v>1445.5</v>
      </c>
      <c r="H102" s="6">
        <v>1420.6</v>
      </c>
      <c r="I102" s="6">
        <v>2818.7</v>
      </c>
      <c r="J102" s="6">
        <v>3297.8</v>
      </c>
      <c r="K102" s="6">
        <v>1865.6</v>
      </c>
      <c r="L102" s="6">
        <v>2100.9</v>
      </c>
      <c r="M102" s="6">
        <v>1813</v>
      </c>
      <c r="N102" s="6">
        <v>669.5</v>
      </c>
      <c r="O102" s="7">
        <v>1991.6</v>
      </c>
      <c r="P102" s="6">
        <f>O102/O101*100-100</f>
        <v>-2.1999607149872418</v>
      </c>
    </row>
    <row r="103" spans="2:16" s="8" customFormat="1" ht="34.9" hidden="1" customHeight="1">
      <c r="B103" s="15">
        <v>40817</v>
      </c>
      <c r="C103" s="11">
        <v>2154.6</v>
      </c>
      <c r="D103" s="10">
        <v>1940.5</v>
      </c>
      <c r="E103" s="10">
        <v>1335.2</v>
      </c>
      <c r="F103" s="10">
        <v>238</v>
      </c>
      <c r="G103" s="10">
        <v>1441.7</v>
      </c>
      <c r="H103" s="10">
        <v>1407.7</v>
      </c>
      <c r="I103" s="10">
        <v>2915.6</v>
      </c>
      <c r="J103" s="10">
        <v>3399.4</v>
      </c>
      <c r="K103" s="10">
        <v>1792.1</v>
      </c>
      <c r="L103" s="10">
        <v>1897.1</v>
      </c>
      <c r="M103" s="10">
        <v>1777.6</v>
      </c>
      <c r="N103" s="10">
        <v>634.79999999999995</v>
      </c>
      <c r="O103" s="11">
        <v>2018.2</v>
      </c>
      <c r="P103" s="10">
        <f>O103/O102*100-100</f>
        <v>1.3356095601526334</v>
      </c>
    </row>
    <row r="104" spans="2:16" s="8" customFormat="1" ht="34.9" hidden="1" customHeight="1">
      <c r="B104" s="14">
        <v>40848</v>
      </c>
      <c r="C104" s="7">
        <v>2101.8000000000002</v>
      </c>
      <c r="D104" s="6">
        <v>1585.8</v>
      </c>
      <c r="E104" s="6">
        <v>1323.4</v>
      </c>
      <c r="F104" s="6">
        <v>223.7</v>
      </c>
      <c r="G104" s="6">
        <v>1469</v>
      </c>
      <c r="H104" s="6">
        <v>1407.7</v>
      </c>
      <c r="I104" s="6">
        <v>3105.4</v>
      </c>
      <c r="J104" s="6">
        <v>3359.8</v>
      </c>
      <c r="K104" s="6">
        <v>1784.6</v>
      </c>
      <c r="L104" s="6">
        <v>1823.7</v>
      </c>
      <c r="M104" s="6">
        <v>1751.9</v>
      </c>
      <c r="N104" s="6">
        <v>578.1</v>
      </c>
      <c r="O104" s="7">
        <v>1964.2</v>
      </c>
      <c r="P104" s="6">
        <f>O104/O103*100-100</f>
        <v>-2.6756515707065773</v>
      </c>
    </row>
    <row r="105" spans="2:16" s="8" customFormat="1" ht="34.9" hidden="1" customHeight="1">
      <c r="B105" s="15">
        <v>40878</v>
      </c>
      <c r="C105" s="11">
        <v>2149.9</v>
      </c>
      <c r="D105" s="10">
        <v>1656.6</v>
      </c>
      <c r="E105" s="10">
        <v>1338.7</v>
      </c>
      <c r="F105" s="10">
        <v>223.6</v>
      </c>
      <c r="G105" s="10">
        <v>1431.3</v>
      </c>
      <c r="H105" s="10">
        <v>1315.2</v>
      </c>
      <c r="I105" s="10">
        <v>3176.2</v>
      </c>
      <c r="J105" s="10">
        <v>3397</v>
      </c>
      <c r="K105" s="10">
        <v>1819.6</v>
      </c>
      <c r="L105" s="10">
        <v>1909.3</v>
      </c>
      <c r="M105" s="10">
        <v>1982.4</v>
      </c>
      <c r="N105" s="10">
        <v>660.5</v>
      </c>
      <c r="O105" s="11">
        <v>1995.1</v>
      </c>
      <c r="P105" s="10">
        <f>O105/O104*100-100</f>
        <v>1.5731595560533549</v>
      </c>
    </row>
    <row r="106" spans="2:16" s="8" customFormat="1" ht="34.9" hidden="1" customHeight="1">
      <c r="B106" s="3">
        <v>2012</v>
      </c>
      <c r="C106" s="93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3"/>
      <c r="P106" s="94"/>
    </row>
    <row r="107" spans="2:16" s="8" customFormat="1" ht="34.9" hidden="1" customHeight="1">
      <c r="B107" s="14">
        <v>40909</v>
      </c>
      <c r="C107" s="7">
        <v>2087.8000000000002</v>
      </c>
      <c r="D107" s="6">
        <v>1681</v>
      </c>
      <c r="E107" s="6">
        <v>1352.4</v>
      </c>
      <c r="F107" s="6">
        <v>234.6</v>
      </c>
      <c r="G107" s="6">
        <v>1516.2</v>
      </c>
      <c r="H107" s="6">
        <v>1284.5</v>
      </c>
      <c r="I107" s="6">
        <v>3170.5</v>
      </c>
      <c r="J107" s="6">
        <v>3212.4</v>
      </c>
      <c r="K107" s="6">
        <v>1861.4</v>
      </c>
      <c r="L107" s="6">
        <v>1920.1</v>
      </c>
      <c r="M107" s="6">
        <v>1845.9</v>
      </c>
      <c r="N107" s="6">
        <v>779.9</v>
      </c>
      <c r="O107" s="7">
        <v>1946.6</v>
      </c>
      <c r="P107" s="6">
        <f>O107/O105*100-100</f>
        <v>-2.4309558418124482</v>
      </c>
    </row>
    <row r="108" spans="2:16" s="8" customFormat="1" ht="34.9" hidden="1" customHeight="1">
      <c r="B108" s="15">
        <v>40940</v>
      </c>
      <c r="C108" s="11">
        <v>2128.1</v>
      </c>
      <c r="D108" s="10">
        <v>1531.9</v>
      </c>
      <c r="E108" s="10">
        <v>1355.6</v>
      </c>
      <c r="F108" s="10">
        <v>233.3</v>
      </c>
      <c r="G108" s="10">
        <v>1671.6</v>
      </c>
      <c r="H108" s="10">
        <v>1241.8</v>
      </c>
      <c r="I108" s="10">
        <v>3426.6</v>
      </c>
      <c r="J108" s="10">
        <v>3368</v>
      </c>
      <c r="K108" s="10">
        <v>1946.9</v>
      </c>
      <c r="L108" s="10">
        <v>1837.2</v>
      </c>
      <c r="M108" s="10">
        <v>1729.7</v>
      </c>
      <c r="N108" s="10">
        <v>868.4</v>
      </c>
      <c r="O108" s="11">
        <v>1959.8</v>
      </c>
      <c r="P108" s="10">
        <f>O108/O107*100-100</f>
        <v>0.67810541456898932</v>
      </c>
    </row>
    <row r="109" spans="2:16" s="8" customFormat="1" ht="34.9" hidden="1" customHeight="1">
      <c r="B109" s="14">
        <v>40969</v>
      </c>
      <c r="C109" s="7">
        <v>2142.6999999999998</v>
      </c>
      <c r="D109" s="6">
        <v>1541.9</v>
      </c>
      <c r="E109" s="6">
        <v>1439.7</v>
      </c>
      <c r="F109" s="6">
        <v>228.7</v>
      </c>
      <c r="G109" s="6">
        <v>1600</v>
      </c>
      <c r="H109" s="6">
        <v>1139.8</v>
      </c>
      <c r="I109" s="6">
        <v>3184.7</v>
      </c>
      <c r="J109" s="6">
        <v>3452.5</v>
      </c>
      <c r="K109" s="6">
        <v>1937.6</v>
      </c>
      <c r="L109" s="6">
        <v>1742.7</v>
      </c>
      <c r="M109" s="6">
        <v>1731.5</v>
      </c>
      <c r="N109" s="6">
        <v>1058.5999999999999</v>
      </c>
      <c r="O109" s="7">
        <v>1990.4</v>
      </c>
      <c r="P109" s="6">
        <f>O109/O108*100-100</f>
        <v>1.5613838146749686</v>
      </c>
    </row>
    <row r="110" spans="2:16" s="8" customFormat="1" ht="34.9" hidden="1" customHeight="1">
      <c r="B110" s="15">
        <v>41000</v>
      </c>
      <c r="C110" s="11">
        <v>2123.8000000000002</v>
      </c>
      <c r="D110" s="10">
        <v>1500.7</v>
      </c>
      <c r="E110" s="10">
        <v>1445.6</v>
      </c>
      <c r="F110" s="10">
        <v>209.6</v>
      </c>
      <c r="G110" s="10">
        <v>1327.7</v>
      </c>
      <c r="H110" s="10">
        <v>1160.5999999999999</v>
      </c>
      <c r="I110" s="10">
        <v>4069.4</v>
      </c>
      <c r="J110" s="10">
        <v>3317.3</v>
      </c>
      <c r="K110" s="10">
        <v>1940.3</v>
      </c>
      <c r="L110" s="10">
        <v>1763.1</v>
      </c>
      <c r="M110" s="10">
        <v>1729.6</v>
      </c>
      <c r="N110" s="10">
        <v>894.9</v>
      </c>
      <c r="O110" s="11">
        <v>1981.2</v>
      </c>
      <c r="P110" s="10">
        <f>O110/O109*100-100</f>
        <v>-0.46221864951768055</v>
      </c>
    </row>
    <row r="111" spans="2:16" s="8" customFormat="1" ht="34.9" hidden="1" customHeight="1">
      <c r="B111" s="14">
        <v>41030</v>
      </c>
      <c r="C111" s="7">
        <v>2046.5</v>
      </c>
      <c r="D111" s="6">
        <v>1478.7</v>
      </c>
      <c r="E111" s="6">
        <v>1347.5</v>
      </c>
      <c r="F111" s="6">
        <v>209.6</v>
      </c>
      <c r="G111" s="6">
        <v>1308.8</v>
      </c>
      <c r="H111" s="6">
        <v>1129.9000000000001</v>
      </c>
      <c r="I111" s="6">
        <v>4022.1</v>
      </c>
      <c r="J111" s="6">
        <v>3188.5</v>
      </c>
      <c r="K111" s="6">
        <v>1903.6</v>
      </c>
      <c r="L111" s="6">
        <v>1555.8</v>
      </c>
      <c r="M111" s="6">
        <v>1685.8</v>
      </c>
      <c r="N111" s="6">
        <v>743.4</v>
      </c>
      <c r="O111" s="7">
        <v>1874.5</v>
      </c>
      <c r="P111" s="6">
        <f t="shared" ref="P111:P114" si="5">O111/O110*100-100</f>
        <v>-5.3856248738138532</v>
      </c>
    </row>
    <row r="112" spans="2:16" s="8" customFormat="1" ht="34.9" hidden="1" customHeight="1">
      <c r="B112" s="15">
        <v>41061</v>
      </c>
      <c r="C112" s="11">
        <v>2047.4</v>
      </c>
      <c r="D112" s="10">
        <v>1451</v>
      </c>
      <c r="E112" s="10">
        <v>1373.1</v>
      </c>
      <c r="F112" s="10">
        <v>202</v>
      </c>
      <c r="G112" s="10">
        <v>1547.2</v>
      </c>
      <c r="H112" s="10">
        <v>1139.7</v>
      </c>
      <c r="I112" s="10">
        <v>3953.8</v>
      </c>
      <c r="J112" s="10">
        <v>3191.8</v>
      </c>
      <c r="K112" s="10">
        <v>1916.3</v>
      </c>
      <c r="L112" s="10">
        <v>1450.3</v>
      </c>
      <c r="M112" s="10">
        <v>1739.7</v>
      </c>
      <c r="N112" s="10">
        <v>808.8</v>
      </c>
      <c r="O112" s="11">
        <v>1882.1</v>
      </c>
      <c r="P112" s="10">
        <f t="shared" si="5"/>
        <v>0.40544145105360485</v>
      </c>
    </row>
    <row r="113" spans="2:16" s="8" customFormat="1" ht="34.9" hidden="1" customHeight="1">
      <c r="B113" s="14">
        <v>41091</v>
      </c>
      <c r="C113" s="7">
        <v>2041.4</v>
      </c>
      <c r="D113" s="6">
        <v>1448.3</v>
      </c>
      <c r="E113" s="6">
        <v>1393.5</v>
      </c>
      <c r="F113" s="6">
        <v>196.6</v>
      </c>
      <c r="G113" s="6">
        <v>1591.4</v>
      </c>
      <c r="H113" s="6">
        <v>1144.3</v>
      </c>
      <c r="I113" s="6">
        <v>4112.5</v>
      </c>
      <c r="J113" s="6">
        <v>3170.8</v>
      </c>
      <c r="K113" s="6">
        <v>1906.7</v>
      </c>
      <c r="L113" s="6">
        <v>1313.6</v>
      </c>
      <c r="M113" s="6">
        <v>1675.1</v>
      </c>
      <c r="N113" s="6">
        <v>1051.2</v>
      </c>
      <c r="O113" s="7">
        <v>1852.5</v>
      </c>
      <c r="P113" s="6">
        <f t="shared" si="5"/>
        <v>-1.5727113330853797</v>
      </c>
    </row>
    <row r="114" spans="2:16" s="8" customFormat="1" ht="34.9" hidden="1" customHeight="1">
      <c r="B114" s="15">
        <v>41122</v>
      </c>
      <c r="C114" s="11">
        <v>2150.6999999999998</v>
      </c>
      <c r="D114" s="10">
        <v>1379.5</v>
      </c>
      <c r="E114" s="10">
        <v>1413.7</v>
      </c>
      <c r="F114" s="10">
        <v>229.3</v>
      </c>
      <c r="G114" s="10">
        <v>1547.2</v>
      </c>
      <c r="H114" s="10">
        <v>1135.5</v>
      </c>
      <c r="I114" s="10">
        <v>4254.3999999999996</v>
      </c>
      <c r="J114" s="10">
        <v>3429.3</v>
      </c>
      <c r="K114" s="10">
        <v>1890.3</v>
      </c>
      <c r="L114" s="10">
        <v>1345.9</v>
      </c>
      <c r="M114" s="10">
        <v>1746.5</v>
      </c>
      <c r="N114" s="10">
        <v>1016.6</v>
      </c>
      <c r="O114" s="11">
        <v>1924</v>
      </c>
      <c r="P114" s="10">
        <f t="shared" si="5"/>
        <v>3.8596491228070136</v>
      </c>
    </row>
    <row r="115" spans="2:16" s="8" customFormat="1" ht="34.9" hidden="1" customHeight="1">
      <c r="B115" s="14">
        <v>41153</v>
      </c>
      <c r="C115" s="7">
        <v>2137.9</v>
      </c>
      <c r="D115" s="6">
        <v>1214.9000000000001</v>
      </c>
      <c r="E115" s="6">
        <v>1385.4</v>
      </c>
      <c r="F115" s="6">
        <v>240.9</v>
      </c>
      <c r="G115" s="6">
        <v>1547.2</v>
      </c>
      <c r="H115" s="6">
        <v>1112.0999999999999</v>
      </c>
      <c r="I115" s="6">
        <v>4100.8999999999996</v>
      </c>
      <c r="J115" s="6">
        <v>3475.7</v>
      </c>
      <c r="K115" s="6">
        <v>1885.2</v>
      </c>
      <c r="L115" s="6">
        <v>1317</v>
      </c>
      <c r="M115" s="6">
        <v>1705.6</v>
      </c>
      <c r="N115" s="6">
        <v>947.6</v>
      </c>
      <c r="O115" s="7">
        <v>1902.7</v>
      </c>
      <c r="P115" s="6">
        <f>O115/O114*100-100</f>
        <v>-1.1070686070686122</v>
      </c>
    </row>
    <row r="116" spans="2:16" s="8" customFormat="1" ht="34.9" hidden="1" customHeight="1">
      <c r="B116" s="15">
        <v>41183</v>
      </c>
      <c r="C116" s="11">
        <v>2136.6999999999998</v>
      </c>
      <c r="D116" s="10">
        <v>1207.7</v>
      </c>
      <c r="E116" s="10">
        <v>1382.9</v>
      </c>
      <c r="F116" s="10">
        <v>244.3</v>
      </c>
      <c r="G116" s="10">
        <v>1584.5</v>
      </c>
      <c r="H116" s="10">
        <v>1149.2</v>
      </c>
      <c r="I116" s="10">
        <v>4172</v>
      </c>
      <c r="J116" s="10">
        <v>3460.9</v>
      </c>
      <c r="K116" s="10">
        <v>1872.7</v>
      </c>
      <c r="L116" s="10">
        <v>1324.3</v>
      </c>
      <c r="M116" s="10">
        <v>1715.9</v>
      </c>
      <c r="N116" s="10">
        <v>936.7</v>
      </c>
      <c r="O116" s="11">
        <v>1917.9</v>
      </c>
      <c r="P116" s="10">
        <f>O116/O115*100-100</f>
        <v>0.79886477111472232</v>
      </c>
    </row>
    <row r="117" spans="2:16" s="8" customFormat="1" ht="34.9" hidden="1" customHeight="1">
      <c r="B117" s="14">
        <v>41214</v>
      </c>
      <c r="C117" s="7">
        <v>2178</v>
      </c>
      <c r="D117" s="6">
        <v>1144.8</v>
      </c>
      <c r="E117" s="6">
        <v>1394.2</v>
      </c>
      <c r="F117" s="6">
        <v>268.3</v>
      </c>
      <c r="G117" s="6">
        <v>1744.1</v>
      </c>
      <c r="H117" s="6">
        <v>1137.2</v>
      </c>
      <c r="I117" s="6">
        <v>5000.2</v>
      </c>
      <c r="J117" s="6">
        <v>3483.3</v>
      </c>
      <c r="K117" s="6">
        <v>1853.6</v>
      </c>
      <c r="L117" s="6">
        <v>1265.75</v>
      </c>
      <c r="M117" s="6">
        <v>1697.3</v>
      </c>
      <c r="N117" s="6">
        <v>1066.8</v>
      </c>
      <c r="O117" s="7">
        <v>1929.3</v>
      </c>
      <c r="P117" s="6">
        <f>O117/O116*100-100</f>
        <v>0.59440012513685758</v>
      </c>
    </row>
    <row r="118" spans="2:16" s="8" customFormat="1" ht="34.9" hidden="1" customHeight="1">
      <c r="B118" s="15">
        <v>41244</v>
      </c>
      <c r="C118" s="11">
        <v>2176.6</v>
      </c>
      <c r="D118" s="10">
        <v>1100.5999999999999</v>
      </c>
      <c r="E118" s="10">
        <v>1455.5</v>
      </c>
      <c r="F118" s="10">
        <v>227.4</v>
      </c>
      <c r="G118" s="10">
        <v>1918</v>
      </c>
      <c r="H118" s="10">
        <v>1120.9000000000001</v>
      </c>
      <c r="I118" s="10">
        <v>5220.7</v>
      </c>
      <c r="J118" s="10">
        <v>3391.5</v>
      </c>
      <c r="K118" s="10">
        <v>2004.2</v>
      </c>
      <c r="L118" s="10">
        <v>1344.6</v>
      </c>
      <c r="M118" s="10">
        <v>1921.6</v>
      </c>
      <c r="N118" s="10">
        <v>870.4</v>
      </c>
      <c r="O118" s="11">
        <v>1957.6</v>
      </c>
      <c r="P118" s="10">
        <f>O118/O117*100-100</f>
        <v>1.4668532628414397</v>
      </c>
    </row>
    <row r="119" spans="2:16" s="8" customFormat="1" ht="34.9" hidden="1" customHeight="1">
      <c r="B119" s="3">
        <v>2013</v>
      </c>
      <c r="C119" s="93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3"/>
      <c r="P119" s="94"/>
    </row>
    <row r="120" spans="2:16" s="8" customFormat="1" ht="34.9" hidden="1" customHeight="1">
      <c r="B120" s="14">
        <v>41275</v>
      </c>
      <c r="C120" s="7">
        <v>2275.6</v>
      </c>
      <c r="D120" s="6">
        <v>1092</v>
      </c>
      <c r="E120" s="6">
        <v>1461.8</v>
      </c>
      <c r="F120" s="6">
        <v>233.5</v>
      </c>
      <c r="G120" s="6">
        <v>1918</v>
      </c>
      <c r="H120" s="6">
        <v>1124.3</v>
      </c>
      <c r="I120" s="6">
        <v>7062.9</v>
      </c>
      <c r="J120" s="6">
        <v>3437.5</v>
      </c>
      <c r="K120" s="6">
        <v>2005.7</v>
      </c>
      <c r="L120" s="6">
        <v>1482.7</v>
      </c>
      <c r="M120" s="6">
        <v>1769.9</v>
      </c>
      <c r="N120" s="6">
        <v>902.5</v>
      </c>
      <c r="O120" s="7">
        <v>2045.7</v>
      </c>
      <c r="P120" s="6">
        <f>O120/O118*100-100</f>
        <v>4.500408663669802</v>
      </c>
    </row>
    <row r="121" spans="2:16" s="8" customFormat="1" ht="34.9" hidden="1" customHeight="1">
      <c r="B121" s="15">
        <v>41306</v>
      </c>
      <c r="C121" s="11">
        <v>2211.1</v>
      </c>
      <c r="D121" s="10">
        <v>1146.9000000000001</v>
      </c>
      <c r="E121" s="10">
        <v>1506.3</v>
      </c>
      <c r="F121" s="10">
        <v>218.2</v>
      </c>
      <c r="G121" s="10">
        <v>1924.9</v>
      </c>
      <c r="H121" s="10">
        <v>1091.2</v>
      </c>
      <c r="I121" s="10">
        <v>6400.3</v>
      </c>
      <c r="J121" s="10">
        <v>3289.5</v>
      </c>
      <c r="K121" s="10">
        <v>2041.4</v>
      </c>
      <c r="L121" s="10">
        <v>1876.7</v>
      </c>
      <c r="M121" s="10">
        <v>1767.9</v>
      </c>
      <c r="N121" s="10">
        <v>1223.8</v>
      </c>
      <c r="O121" s="11">
        <v>2042.4</v>
      </c>
      <c r="P121" s="10">
        <f>O121/O120*100-100</f>
        <v>-0.16131397565625605</v>
      </c>
    </row>
    <row r="122" spans="2:16" s="8" customFormat="1" ht="34.9" hidden="1" customHeight="1">
      <c r="B122" s="14">
        <v>41334</v>
      </c>
      <c r="C122" s="7">
        <v>2263.4</v>
      </c>
      <c r="D122" s="6">
        <v>1277.0999999999999</v>
      </c>
      <c r="E122" s="6">
        <v>1513.4</v>
      </c>
      <c r="F122" s="6">
        <v>196.8</v>
      </c>
      <c r="G122" s="6">
        <v>1938.7</v>
      </c>
      <c r="H122" s="6">
        <v>1066.3</v>
      </c>
      <c r="I122" s="6">
        <v>6727.1</v>
      </c>
      <c r="J122" s="6">
        <v>3361.1</v>
      </c>
      <c r="K122" s="6">
        <v>2024.5</v>
      </c>
      <c r="L122" s="6">
        <v>1627.2</v>
      </c>
      <c r="M122" s="6">
        <v>1788.8</v>
      </c>
      <c r="N122" s="6">
        <v>1749.1</v>
      </c>
      <c r="O122" s="7">
        <v>2101.4</v>
      </c>
      <c r="P122" s="6">
        <f>O122/O121*100-100</f>
        <v>2.8887583235409409</v>
      </c>
    </row>
    <row r="123" spans="2:16" s="8" customFormat="1" ht="34.9" hidden="1" customHeight="1">
      <c r="B123" s="15">
        <v>41365</v>
      </c>
      <c r="C123" s="11">
        <v>2190.4</v>
      </c>
      <c r="D123" s="10">
        <v>1239.8</v>
      </c>
      <c r="E123" s="10">
        <v>1457.7</v>
      </c>
      <c r="F123" s="10">
        <v>181.5</v>
      </c>
      <c r="G123" s="10">
        <v>1938.7</v>
      </c>
      <c r="H123" s="10">
        <v>1095.5999999999999</v>
      </c>
      <c r="I123" s="10">
        <v>6724.2</v>
      </c>
      <c r="J123" s="10">
        <v>3242.2</v>
      </c>
      <c r="K123" s="10">
        <v>1869.5</v>
      </c>
      <c r="L123" s="10">
        <v>1497.1</v>
      </c>
      <c r="M123" s="10">
        <v>1740.4</v>
      </c>
      <c r="N123" s="10">
        <v>1691.4</v>
      </c>
      <c r="O123" s="11">
        <v>1998.1</v>
      </c>
      <c r="P123" s="10">
        <f>O123/O122*100-100</f>
        <v>-4.915770438755132</v>
      </c>
    </row>
    <row r="124" spans="2:16" s="8" customFormat="1" ht="34.9" hidden="1" customHeight="1">
      <c r="B124" s="14">
        <v>41395</v>
      </c>
      <c r="C124" s="7">
        <v>2214.9</v>
      </c>
      <c r="D124" s="6">
        <v>1168.3</v>
      </c>
      <c r="E124" s="6">
        <v>1520.9</v>
      </c>
      <c r="F124" s="6">
        <v>175.3</v>
      </c>
      <c r="G124" s="6">
        <v>2186.9</v>
      </c>
      <c r="H124" s="6">
        <v>1138.9000000000001</v>
      </c>
      <c r="I124" s="6">
        <v>6746.7</v>
      </c>
      <c r="J124" s="6">
        <v>3311.5</v>
      </c>
      <c r="K124" s="6">
        <v>1881.6</v>
      </c>
      <c r="L124" s="6">
        <v>1518.8</v>
      </c>
      <c r="M124" s="6">
        <v>1667.7</v>
      </c>
      <c r="N124" s="6">
        <v>1590.1</v>
      </c>
      <c r="O124" s="7">
        <v>2017.5</v>
      </c>
      <c r="P124" s="6">
        <f t="shared" ref="P124:P127" si="6">O124/O123*100-100</f>
        <v>0.97092237625744815</v>
      </c>
    </row>
    <row r="125" spans="2:16" s="8" customFormat="1" ht="34.9" hidden="1" customHeight="1">
      <c r="B125" s="15">
        <v>41426</v>
      </c>
      <c r="C125" s="11">
        <v>2135.5</v>
      </c>
      <c r="D125" s="10">
        <v>1121</v>
      </c>
      <c r="E125" s="10">
        <v>1510.9</v>
      </c>
      <c r="F125" s="10">
        <v>169.2</v>
      </c>
      <c r="G125" s="10">
        <v>2109.3000000000002</v>
      </c>
      <c r="H125" s="10">
        <v>1159.5</v>
      </c>
      <c r="I125" s="10">
        <v>7162.1</v>
      </c>
      <c r="J125" s="10">
        <v>3079.5</v>
      </c>
      <c r="K125" s="10">
        <v>1977.2</v>
      </c>
      <c r="L125" s="10">
        <v>1491.5</v>
      </c>
      <c r="M125" s="10">
        <v>1693.8</v>
      </c>
      <c r="N125" s="10">
        <v>1395.7</v>
      </c>
      <c r="O125" s="11">
        <v>1980.5</v>
      </c>
      <c r="P125" s="10">
        <f t="shared" si="6"/>
        <v>-1.833952912019825</v>
      </c>
    </row>
    <row r="126" spans="2:16" s="8" customFormat="1" ht="34.9" hidden="1" customHeight="1">
      <c r="B126" s="14">
        <v>41456</v>
      </c>
      <c r="C126" s="7">
        <v>2095.6</v>
      </c>
      <c r="D126" s="6">
        <v>1079.4000000000001</v>
      </c>
      <c r="E126" s="6">
        <v>1502.9</v>
      </c>
      <c r="F126" s="6">
        <v>175.9</v>
      </c>
      <c r="G126" s="6">
        <v>2126.3000000000002</v>
      </c>
      <c r="H126" s="6">
        <v>1165.2</v>
      </c>
      <c r="I126" s="6">
        <v>7759.6</v>
      </c>
      <c r="J126" s="6">
        <v>2963.7</v>
      </c>
      <c r="K126" s="6">
        <v>1894.1</v>
      </c>
      <c r="L126" s="6">
        <v>1409.3</v>
      </c>
      <c r="M126" s="6">
        <v>1621.1</v>
      </c>
      <c r="N126" s="6">
        <v>1329.5</v>
      </c>
      <c r="O126" s="7">
        <v>1956.2</v>
      </c>
      <c r="P126" s="6">
        <f t="shared" si="6"/>
        <v>-1.2269628881595622</v>
      </c>
    </row>
    <row r="127" spans="2:16" s="8" customFormat="1" ht="34.9" hidden="1" customHeight="1">
      <c r="B127" s="15">
        <v>41487</v>
      </c>
      <c r="C127" s="11">
        <v>1929.4</v>
      </c>
      <c r="D127" s="10">
        <v>1082.4000000000001</v>
      </c>
      <c r="E127" s="10">
        <v>1484.3</v>
      </c>
      <c r="F127" s="10">
        <v>175.9</v>
      </c>
      <c r="G127" s="10">
        <v>2109.3000000000002</v>
      </c>
      <c r="H127" s="10">
        <v>1143</v>
      </c>
      <c r="I127" s="10">
        <v>7978.1</v>
      </c>
      <c r="J127" s="10">
        <v>2564.6999999999998</v>
      </c>
      <c r="K127" s="10">
        <v>1821</v>
      </c>
      <c r="L127" s="10">
        <v>1335.7</v>
      </c>
      <c r="M127" s="10">
        <v>1620.9</v>
      </c>
      <c r="N127" s="10">
        <v>1278.2</v>
      </c>
      <c r="O127" s="11">
        <v>1875</v>
      </c>
      <c r="P127" s="10">
        <f t="shared" si="6"/>
        <v>-4.1509048154585457</v>
      </c>
    </row>
    <row r="128" spans="2:16" s="8" customFormat="1" ht="34.9" hidden="1" customHeight="1">
      <c r="B128" s="14">
        <v>41518</v>
      </c>
      <c r="C128" s="7">
        <v>1723</v>
      </c>
      <c r="D128" s="6">
        <v>1082.8</v>
      </c>
      <c r="E128" s="6">
        <v>1478.4</v>
      </c>
      <c r="F128" s="6">
        <v>162</v>
      </c>
      <c r="G128" s="6">
        <v>2109.3000000000002</v>
      </c>
      <c r="H128" s="6">
        <v>1149.5999999999999</v>
      </c>
      <c r="I128" s="6">
        <v>8408.5</v>
      </c>
      <c r="J128" s="6">
        <v>2000</v>
      </c>
      <c r="K128" s="6">
        <v>1867</v>
      </c>
      <c r="L128" s="6">
        <v>1388.8</v>
      </c>
      <c r="M128" s="6">
        <v>1670.1</v>
      </c>
      <c r="N128" s="6">
        <v>1237.4000000000001</v>
      </c>
      <c r="O128" s="7">
        <v>1850.6</v>
      </c>
      <c r="P128" s="6">
        <f>O128/O127*100-100</f>
        <v>-1.3013333333333463</v>
      </c>
    </row>
    <row r="129" spans="2:16" s="8" customFormat="1" ht="34.9" hidden="1" customHeight="1">
      <c r="B129" s="15">
        <v>41548</v>
      </c>
      <c r="C129" s="11">
        <v>1921.34</v>
      </c>
      <c r="D129" s="10">
        <v>1088.76</v>
      </c>
      <c r="E129" s="10">
        <v>1573.42</v>
      </c>
      <c r="F129" s="10">
        <v>114</v>
      </c>
      <c r="G129" s="10">
        <v>2160.36</v>
      </c>
      <c r="H129" s="10">
        <v>1156.5</v>
      </c>
      <c r="I129" s="10">
        <v>9427.56</v>
      </c>
      <c r="J129" s="10">
        <v>2304.14</v>
      </c>
      <c r="K129" s="10">
        <v>2021.62</v>
      </c>
      <c r="L129" s="10">
        <v>1476.37</v>
      </c>
      <c r="M129" s="10">
        <v>1676.68</v>
      </c>
      <c r="N129" s="10">
        <v>1171.79</v>
      </c>
      <c r="O129" s="11">
        <v>1969.34</v>
      </c>
      <c r="P129" s="10">
        <f>O129/O128*100-100</f>
        <v>6.41629741705394</v>
      </c>
    </row>
    <row r="130" spans="2:16" s="8" customFormat="1" ht="34.9" hidden="1" customHeight="1">
      <c r="B130" s="14">
        <v>41579</v>
      </c>
      <c r="C130" s="7">
        <v>1952.26</v>
      </c>
      <c r="D130" s="6">
        <v>1311.67</v>
      </c>
      <c r="E130" s="6">
        <v>1623</v>
      </c>
      <c r="F130" s="6">
        <v>115.33</v>
      </c>
      <c r="G130" s="6">
        <v>2160.36</v>
      </c>
      <c r="H130" s="6">
        <v>1167.51</v>
      </c>
      <c r="I130" s="6">
        <v>9366.9</v>
      </c>
      <c r="J130" s="6">
        <v>2310.5300000000002</v>
      </c>
      <c r="K130" s="6">
        <v>2063.52</v>
      </c>
      <c r="L130" s="6">
        <v>1528.94</v>
      </c>
      <c r="M130" s="6">
        <v>1770.56</v>
      </c>
      <c r="N130" s="6">
        <v>1115.55</v>
      </c>
      <c r="O130" s="7">
        <v>2022.63</v>
      </c>
      <c r="P130" s="6">
        <f>O130/O129*100-100</f>
        <v>2.7059827150212925</v>
      </c>
    </row>
    <row r="131" spans="2:16" s="8" customFormat="1" ht="34.9" hidden="1" customHeight="1">
      <c r="B131" s="15">
        <v>41609</v>
      </c>
      <c r="C131" s="11">
        <v>1964.9</v>
      </c>
      <c r="D131" s="10">
        <v>1341.3</v>
      </c>
      <c r="E131" s="10">
        <v>1786.4</v>
      </c>
      <c r="F131" s="10">
        <v>122.8</v>
      </c>
      <c r="G131" s="10">
        <v>2118.4</v>
      </c>
      <c r="H131" s="10">
        <v>1161.5</v>
      </c>
      <c r="I131" s="10">
        <v>9363.9</v>
      </c>
      <c r="J131" s="10">
        <v>2247.1999999999998</v>
      </c>
      <c r="K131" s="10">
        <v>2233.6</v>
      </c>
      <c r="L131" s="10">
        <v>1921.2</v>
      </c>
      <c r="M131" s="10">
        <v>1953.4</v>
      </c>
      <c r="N131" s="10">
        <v>993.7</v>
      </c>
      <c r="O131" s="11">
        <v>2065.8000000000002</v>
      </c>
      <c r="P131" s="10">
        <f>O131/O130*100-100</f>
        <v>2.1343498316548306</v>
      </c>
    </row>
    <row r="132" spans="2:16" s="8" customFormat="1" ht="34.9" hidden="1" customHeight="1">
      <c r="B132" s="3">
        <v>2014</v>
      </c>
      <c r="C132" s="93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3"/>
      <c r="P132" s="94"/>
    </row>
    <row r="133" spans="2:16" s="8" customFormat="1" ht="34.9" hidden="1" customHeight="1">
      <c r="B133" s="14">
        <v>41640</v>
      </c>
      <c r="C133" s="7">
        <v>1996.2</v>
      </c>
      <c r="D133" s="6">
        <v>1386.9</v>
      </c>
      <c r="E133" s="6">
        <v>1881.9</v>
      </c>
      <c r="F133" s="6">
        <v>158.9</v>
      </c>
      <c r="G133" s="6">
        <v>2202.3000000000002</v>
      </c>
      <c r="H133" s="6">
        <v>1219.0999999999999</v>
      </c>
      <c r="I133" s="6">
        <v>10080.5</v>
      </c>
      <c r="J133" s="6">
        <v>2224.4</v>
      </c>
      <c r="K133" s="6">
        <v>2154.9</v>
      </c>
      <c r="L133" s="6">
        <v>2020.8</v>
      </c>
      <c r="M133" s="6">
        <v>1981.1</v>
      </c>
      <c r="N133" s="6">
        <v>1265.5</v>
      </c>
      <c r="O133" s="7">
        <v>2207</v>
      </c>
      <c r="P133" s="6">
        <f>O133/O131*100-100</f>
        <v>6.8351244070093742</v>
      </c>
    </row>
    <row r="134" spans="2:16" s="8" customFormat="1" ht="34.9" hidden="1" customHeight="1">
      <c r="B134" s="15">
        <v>41671</v>
      </c>
      <c r="C134" s="11">
        <v>1874.11</v>
      </c>
      <c r="D134" s="10">
        <v>1414.19</v>
      </c>
      <c r="E134" s="10">
        <v>1840.54</v>
      </c>
      <c r="F134" s="10">
        <v>142.22</v>
      </c>
      <c r="G134" s="10">
        <v>2202.3000000000002</v>
      </c>
      <c r="H134" s="10">
        <v>1196</v>
      </c>
      <c r="I134" s="10">
        <v>9253.61</v>
      </c>
      <c r="J134" s="10">
        <v>2057.69</v>
      </c>
      <c r="K134" s="10">
        <v>2109.5300000000002</v>
      </c>
      <c r="L134" s="10">
        <v>2023.88</v>
      </c>
      <c r="M134" s="10">
        <v>1862.16</v>
      </c>
      <c r="N134" s="10">
        <v>1059.3</v>
      </c>
      <c r="O134" s="11">
        <v>2178.1999999999998</v>
      </c>
      <c r="P134" s="10">
        <f>O134/O133*100-100</f>
        <v>-1.3049388309923131</v>
      </c>
    </row>
    <row r="135" spans="2:16" s="8" customFormat="1" ht="34.9" hidden="1" customHeight="1">
      <c r="B135" s="14">
        <v>41699</v>
      </c>
      <c r="C135" s="7">
        <v>1875.8</v>
      </c>
      <c r="D135" s="6">
        <v>1406.5</v>
      </c>
      <c r="E135" s="6">
        <v>1860.6</v>
      </c>
      <c r="F135" s="6">
        <v>147.80000000000001</v>
      </c>
      <c r="G135" s="6">
        <v>2202.3000000000002</v>
      </c>
      <c r="H135" s="6">
        <v>1178.0999999999999</v>
      </c>
      <c r="I135" s="6">
        <v>8791.7999999999993</v>
      </c>
      <c r="J135" s="6">
        <v>2118.1</v>
      </c>
      <c r="K135" s="6">
        <v>2024.8</v>
      </c>
      <c r="L135" s="6">
        <v>1869</v>
      </c>
      <c r="M135" s="6">
        <v>1870.2</v>
      </c>
      <c r="N135" s="6">
        <v>1124.9000000000001</v>
      </c>
      <c r="O135" s="7">
        <v>2148.9</v>
      </c>
      <c r="P135" s="6">
        <f>O135/O134*100-100</f>
        <v>-1.3451473693875613</v>
      </c>
    </row>
    <row r="136" spans="2:16" s="8" customFormat="1" ht="34.9" hidden="1" customHeight="1">
      <c r="B136" s="15">
        <v>41730</v>
      </c>
      <c r="C136" s="11">
        <v>1904.6</v>
      </c>
      <c r="D136" s="10">
        <v>1468.4</v>
      </c>
      <c r="E136" s="10">
        <v>1895.56</v>
      </c>
      <c r="F136" s="10">
        <v>136.66</v>
      </c>
      <c r="G136" s="10">
        <v>2097.4299999999998</v>
      </c>
      <c r="H136" s="10">
        <v>1249.1400000000001</v>
      </c>
      <c r="I136" s="10">
        <v>8888.0400000000009</v>
      </c>
      <c r="J136" s="10">
        <v>2163.88</v>
      </c>
      <c r="K136" s="10">
        <v>2023.5</v>
      </c>
      <c r="L136" s="10">
        <v>1830.81</v>
      </c>
      <c r="M136" s="10">
        <v>1811.3</v>
      </c>
      <c r="N136" s="10">
        <v>1021.8</v>
      </c>
      <c r="O136" s="11">
        <v>2124.15</v>
      </c>
      <c r="P136" s="10">
        <f>O136/O135*100-100</f>
        <v>-1.1517520591930719</v>
      </c>
    </row>
    <row r="137" spans="2:16" s="8" customFormat="1" ht="34.9" hidden="1" customHeight="1">
      <c r="B137" s="14">
        <v>41760</v>
      </c>
      <c r="C137" s="7">
        <v>1856.5</v>
      </c>
      <c r="D137" s="6">
        <v>1536.4</v>
      </c>
      <c r="E137" s="6">
        <v>1941.1</v>
      </c>
      <c r="F137" s="6">
        <v>125.5</v>
      </c>
      <c r="G137" s="6">
        <v>2118.4</v>
      </c>
      <c r="H137" s="6">
        <v>1230.8</v>
      </c>
      <c r="I137" s="6">
        <v>9118.9</v>
      </c>
      <c r="J137" s="6">
        <v>2029.4</v>
      </c>
      <c r="K137" s="6">
        <v>1966.5</v>
      </c>
      <c r="L137" s="6">
        <v>1714.3</v>
      </c>
      <c r="M137" s="6">
        <v>1878.5</v>
      </c>
      <c r="N137" s="6">
        <v>1143.7</v>
      </c>
      <c r="O137" s="7">
        <v>2130.9</v>
      </c>
      <c r="P137" s="6">
        <f t="shared" ref="P137:P140" si="7">O137/O136*100-100</f>
        <v>0.31777416849092788</v>
      </c>
    </row>
    <row r="138" spans="2:16" s="8" customFormat="1" ht="34.9" hidden="1" customHeight="1">
      <c r="B138" s="15">
        <v>41791</v>
      </c>
      <c r="C138" s="11">
        <v>1837.3971241893098</v>
      </c>
      <c r="D138" s="10">
        <v>1738.5093117878671</v>
      </c>
      <c r="E138" s="10">
        <v>1909.5861977961117</v>
      </c>
      <c r="F138" s="10">
        <v>114.40512848903413</v>
      </c>
      <c r="G138" s="10">
        <v>2349.1243469670799</v>
      </c>
      <c r="H138" s="10">
        <v>1253.3715610227302</v>
      </c>
      <c r="I138" s="10">
        <v>8801.8635241966531</v>
      </c>
      <c r="J138" s="10">
        <v>1981.2899939314109</v>
      </c>
      <c r="K138" s="10">
        <v>2046.9502057994816</v>
      </c>
      <c r="L138" s="10">
        <v>1666.6395191610752</v>
      </c>
      <c r="M138" s="10">
        <v>1833.2630020225158</v>
      </c>
      <c r="N138" s="10">
        <v>1134.2938824536034</v>
      </c>
      <c r="O138" s="11">
        <v>2113.0334731859839</v>
      </c>
      <c r="P138" s="10">
        <f t="shared" si="7"/>
        <v>-0.83844980121151025</v>
      </c>
    </row>
    <row r="139" spans="2:16" s="8" customFormat="1" ht="34.9" hidden="1" customHeight="1">
      <c r="B139" s="14">
        <v>41821</v>
      </c>
      <c r="C139" s="7">
        <v>1888.7906941020799</v>
      </c>
      <c r="D139" s="6">
        <v>1936.7090173242921</v>
      </c>
      <c r="E139" s="6">
        <v>1956.9957208261828</v>
      </c>
      <c r="F139" s="6">
        <v>101.78269706095614</v>
      </c>
      <c r="G139" s="6">
        <v>2286.2013733876042</v>
      </c>
      <c r="H139" s="6">
        <v>1270.8525998648845</v>
      </c>
      <c r="I139" s="6">
        <v>8765.1946548102624</v>
      </c>
      <c r="J139" s="6">
        <v>2079.5208689833212</v>
      </c>
      <c r="K139" s="6">
        <v>1980.04244608777</v>
      </c>
      <c r="L139" s="6">
        <v>1675.7096186995234</v>
      </c>
      <c r="M139" s="6">
        <v>1872.1675971003797</v>
      </c>
      <c r="N139" s="6">
        <v>1171.7912008818216</v>
      </c>
      <c r="O139" s="7">
        <v>2136.6</v>
      </c>
      <c r="P139" s="6">
        <f t="shared" si="7"/>
        <v>1.1152935868300631</v>
      </c>
    </row>
    <row r="140" spans="2:16" s="8" customFormat="1" ht="34.9" hidden="1" customHeight="1">
      <c r="B140" s="15">
        <v>41852</v>
      </c>
      <c r="C140" s="11">
        <v>1902.0811662860585</v>
      </c>
      <c r="D140" s="10">
        <v>2333.3316690547395</v>
      </c>
      <c r="E140" s="10">
        <v>1946.9096724129824</v>
      </c>
      <c r="F140" s="10">
        <v>102.47119332066949</v>
      </c>
      <c r="G140" s="10">
        <v>2307.175697914096</v>
      </c>
      <c r="H140" s="10">
        <v>1348.2247431207622</v>
      </c>
      <c r="I140" s="10">
        <v>8651.3603733634336</v>
      </c>
      <c r="J140" s="10">
        <v>2014.8822686249293</v>
      </c>
      <c r="K140" s="10">
        <v>1940.0540596529331</v>
      </c>
      <c r="L140" s="10">
        <v>1550.7330305096286</v>
      </c>
      <c r="M140" s="10">
        <v>1849.4874499955195</v>
      </c>
      <c r="N140" s="10">
        <v>1040.5505863830576</v>
      </c>
      <c r="O140" s="11">
        <v>2131.908789786014</v>
      </c>
      <c r="P140" s="10">
        <f t="shared" si="7"/>
        <v>-0.21956427099063092</v>
      </c>
    </row>
    <row r="141" spans="2:16" s="8" customFormat="1" ht="34.9" hidden="1" customHeight="1">
      <c r="B141" s="14">
        <v>41883</v>
      </c>
      <c r="C141" s="7">
        <v>1852.1</v>
      </c>
      <c r="D141" s="6">
        <v>2230.1</v>
      </c>
      <c r="E141" s="6">
        <v>1935.2</v>
      </c>
      <c r="F141" s="6">
        <v>97.6</v>
      </c>
      <c r="G141" s="6">
        <v>2475</v>
      </c>
      <c r="H141" s="6">
        <v>1322</v>
      </c>
      <c r="I141" s="6">
        <v>8181.4</v>
      </c>
      <c r="J141" s="6">
        <v>1951.4</v>
      </c>
      <c r="K141" s="6">
        <v>2012.4</v>
      </c>
      <c r="L141" s="6">
        <v>1628.6</v>
      </c>
      <c r="M141" s="6">
        <v>1872.7</v>
      </c>
      <c r="N141" s="6">
        <v>881.2</v>
      </c>
      <c r="O141" s="7">
        <v>2115</v>
      </c>
      <c r="P141" s="6">
        <f>O141/O140*100-100</f>
        <v>-0.79312913699797605</v>
      </c>
    </row>
    <row r="142" spans="2:16" s="8" customFormat="1" ht="34.9" hidden="1" customHeight="1">
      <c r="B142" s="15">
        <v>41913</v>
      </c>
      <c r="C142" s="11">
        <v>1827.3</v>
      </c>
      <c r="D142" s="10">
        <v>2212.9</v>
      </c>
      <c r="E142" s="10">
        <v>1928.5</v>
      </c>
      <c r="F142" s="10">
        <v>102</v>
      </c>
      <c r="G142" s="10">
        <v>2726.7</v>
      </c>
      <c r="H142" s="10">
        <v>1353.1</v>
      </c>
      <c r="I142" s="10">
        <v>7720.9</v>
      </c>
      <c r="J142" s="10">
        <v>1944.9</v>
      </c>
      <c r="K142" s="10">
        <v>2013.8</v>
      </c>
      <c r="L142" s="10">
        <v>1703.1</v>
      </c>
      <c r="M142" s="10">
        <v>1859.1</v>
      </c>
      <c r="N142" s="10">
        <v>890.6</v>
      </c>
      <c r="O142" s="11">
        <v>2106.1</v>
      </c>
      <c r="P142" s="10">
        <f>O142/O141*100-100</f>
        <v>-0.42080378250591366</v>
      </c>
    </row>
    <row r="143" spans="2:16" s="8" customFormat="1" ht="34.9" hidden="1" customHeight="1">
      <c r="B143" s="14">
        <v>41944</v>
      </c>
      <c r="C143" s="7">
        <v>1785.6</v>
      </c>
      <c r="D143" s="6">
        <v>2103.3000000000002</v>
      </c>
      <c r="E143" s="6">
        <v>1985.4</v>
      </c>
      <c r="F143" s="6">
        <v>92.7</v>
      </c>
      <c r="G143" s="6">
        <v>2516.9</v>
      </c>
      <c r="H143" s="6">
        <v>1363.6</v>
      </c>
      <c r="I143" s="6">
        <v>7435.5</v>
      </c>
      <c r="J143" s="6">
        <v>1888.9</v>
      </c>
      <c r="K143" s="6">
        <v>1987.4</v>
      </c>
      <c r="L143" s="6">
        <v>1647.9</v>
      </c>
      <c r="M143" s="6">
        <v>1865.8</v>
      </c>
      <c r="N143" s="6">
        <v>1003.1</v>
      </c>
      <c r="O143" s="7">
        <v>2132.5</v>
      </c>
      <c r="P143" s="6">
        <f>O143/O142*100-100</f>
        <v>1.253501733061114</v>
      </c>
    </row>
    <row r="144" spans="2:16" s="8" customFormat="1" ht="34.9" hidden="1" customHeight="1">
      <c r="B144" s="15">
        <v>41974</v>
      </c>
      <c r="C144" s="11">
        <v>1852</v>
      </c>
      <c r="D144" s="10">
        <v>2236.8000000000002</v>
      </c>
      <c r="E144" s="10">
        <v>2065.5</v>
      </c>
      <c r="F144" s="10">
        <v>94.7</v>
      </c>
      <c r="G144" s="10">
        <v>3062.3</v>
      </c>
      <c r="H144" s="10">
        <v>1349.9</v>
      </c>
      <c r="I144" s="10">
        <v>7732</v>
      </c>
      <c r="J144" s="10">
        <v>1960.1</v>
      </c>
      <c r="K144" s="10">
        <v>2044.1</v>
      </c>
      <c r="L144" s="10">
        <v>1847.7</v>
      </c>
      <c r="M144" s="10">
        <v>1828.9</v>
      </c>
      <c r="N144" s="10">
        <v>1096.8</v>
      </c>
      <c r="O144" s="11">
        <v>2165.5</v>
      </c>
      <c r="P144" s="10">
        <f>O144/O143*100-100</f>
        <v>1.5474794841735076</v>
      </c>
    </row>
    <row r="145" spans="2:16" s="8" customFormat="1" ht="34.9" hidden="1" customHeight="1">
      <c r="B145" s="3">
        <v>2015</v>
      </c>
      <c r="C145" s="93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3"/>
      <c r="P145" s="94"/>
    </row>
    <row r="146" spans="2:16" s="8" customFormat="1" ht="34.9" hidden="1" customHeight="1">
      <c r="B146" s="14">
        <v>42005</v>
      </c>
      <c r="C146" s="7">
        <v>1840</v>
      </c>
      <c r="D146" s="6">
        <v>2078.5</v>
      </c>
      <c r="E146" s="6">
        <v>2057.6</v>
      </c>
      <c r="F146" s="6">
        <v>90.6</v>
      </c>
      <c r="G146" s="6">
        <v>3146.2</v>
      </c>
      <c r="H146" s="6">
        <v>1306.7</v>
      </c>
      <c r="I146" s="6">
        <v>8145</v>
      </c>
      <c r="J146" s="6">
        <v>1917.7</v>
      </c>
      <c r="K146" s="6">
        <v>2005.5</v>
      </c>
      <c r="L146" s="6">
        <v>1866.9</v>
      </c>
      <c r="M146" s="6">
        <v>1887.1</v>
      </c>
      <c r="N146" s="6">
        <v>1096.8</v>
      </c>
      <c r="O146" s="7">
        <v>2169.6</v>
      </c>
      <c r="P146" s="6">
        <f>O146/O144*100-100</f>
        <v>0.18933271761716242</v>
      </c>
    </row>
    <row r="147" spans="2:16" s="8" customFormat="1" ht="34.9" hidden="1" customHeight="1">
      <c r="B147" s="15">
        <v>42036</v>
      </c>
      <c r="C147" s="11">
        <v>1827.7</v>
      </c>
      <c r="D147" s="10">
        <v>2045.6</v>
      </c>
      <c r="E147" s="10">
        <v>1931.6</v>
      </c>
      <c r="F147" s="10">
        <v>94</v>
      </c>
      <c r="G147" s="10">
        <v>3146.2</v>
      </c>
      <c r="H147" s="10">
        <v>1269.8</v>
      </c>
      <c r="I147" s="10">
        <v>8294</v>
      </c>
      <c r="J147" s="10">
        <v>1892.4</v>
      </c>
      <c r="K147" s="10">
        <v>2018.5</v>
      </c>
      <c r="L147" s="10">
        <v>1865.1</v>
      </c>
      <c r="M147" s="10">
        <v>1911.4</v>
      </c>
      <c r="N147" s="10">
        <v>1303</v>
      </c>
      <c r="O147" s="11">
        <v>2195.5</v>
      </c>
      <c r="P147" s="10">
        <f>O147/O146*100-100</f>
        <v>1.1937684365781678</v>
      </c>
    </row>
    <row r="148" spans="2:16" s="8" customFormat="1" ht="34.9" hidden="1" customHeight="1">
      <c r="B148" s="14">
        <v>42064</v>
      </c>
      <c r="C148" s="7">
        <v>1771.5</v>
      </c>
      <c r="D148" s="6">
        <v>2015.8</v>
      </c>
      <c r="E148" s="6">
        <v>1838.8</v>
      </c>
      <c r="F148" s="6">
        <v>86.5</v>
      </c>
      <c r="G148" s="6">
        <v>3188.1</v>
      </c>
      <c r="H148" s="6">
        <v>1314.4</v>
      </c>
      <c r="I148" s="6">
        <v>8139.6</v>
      </c>
      <c r="J148" s="6">
        <v>1774.8</v>
      </c>
      <c r="K148" s="6">
        <v>1975.5</v>
      </c>
      <c r="L148" s="6">
        <v>1770.6</v>
      </c>
      <c r="M148" s="6">
        <v>1969</v>
      </c>
      <c r="N148" s="6">
        <v>1321.8</v>
      </c>
      <c r="O148" s="7">
        <v>2135.4</v>
      </c>
      <c r="P148" s="6">
        <f>O148/O147*100-100</f>
        <v>-2.7374174447733992</v>
      </c>
    </row>
    <row r="149" spans="2:16" s="8" customFormat="1" ht="34.9" hidden="1" customHeight="1">
      <c r="B149" s="15">
        <v>42095</v>
      </c>
      <c r="C149" s="11">
        <v>1818.6</v>
      </c>
      <c r="D149" s="10">
        <v>2261.9</v>
      </c>
      <c r="E149" s="10">
        <v>1778.4</v>
      </c>
      <c r="F149" s="10">
        <v>83.4</v>
      </c>
      <c r="G149" s="10">
        <v>3355.9</v>
      </c>
      <c r="H149" s="10">
        <v>1417.5</v>
      </c>
      <c r="I149" s="10">
        <v>8890.5</v>
      </c>
      <c r="J149" s="10">
        <v>1755.4</v>
      </c>
      <c r="K149" s="10">
        <v>1915.3</v>
      </c>
      <c r="L149" s="10">
        <v>1777.8</v>
      </c>
      <c r="M149" s="10">
        <v>1828.9</v>
      </c>
      <c r="N149" s="10">
        <v>1237.4000000000001</v>
      </c>
      <c r="O149" s="11">
        <v>2115.5</v>
      </c>
      <c r="P149" s="10">
        <f>O149/O148*100-100</f>
        <v>-0.93190971246605159</v>
      </c>
    </row>
    <row r="150" spans="2:16" s="8" customFormat="1" ht="34.9" hidden="1" customHeight="1">
      <c r="B150" s="14">
        <v>42125</v>
      </c>
      <c r="C150" s="7">
        <v>1880.8</v>
      </c>
      <c r="D150" s="6">
        <v>2140.4</v>
      </c>
      <c r="E150" s="6">
        <v>1675.9</v>
      </c>
      <c r="F150" s="6">
        <v>76.7</v>
      </c>
      <c r="G150" s="6">
        <v>3272</v>
      </c>
      <c r="H150" s="6">
        <v>1480.2</v>
      </c>
      <c r="I150" s="6">
        <v>9159.1</v>
      </c>
      <c r="J150" s="6">
        <v>1949.2</v>
      </c>
      <c r="K150" s="6">
        <v>1776.3</v>
      </c>
      <c r="L150" s="6">
        <v>1680.3</v>
      </c>
      <c r="M150" s="6">
        <v>1913.8</v>
      </c>
      <c r="N150" s="6">
        <v>1209.3</v>
      </c>
      <c r="O150" s="7">
        <v>2183.6</v>
      </c>
      <c r="P150" s="6">
        <f t="shared" ref="P150:P153" si="8">O150/O149*100-100</f>
        <v>3.2190971401559807</v>
      </c>
    </row>
    <row r="151" spans="2:16" s="8" customFormat="1" ht="34.9" hidden="1" customHeight="1">
      <c r="B151" s="15">
        <v>42156</v>
      </c>
      <c r="C151" s="11">
        <v>1855.5</v>
      </c>
      <c r="D151" s="10">
        <v>2153.1</v>
      </c>
      <c r="E151" s="10">
        <v>1729.9</v>
      </c>
      <c r="F151" s="10">
        <v>70.5</v>
      </c>
      <c r="G151" s="10">
        <v>3334.9</v>
      </c>
      <c r="H151" s="10">
        <v>1504.9</v>
      </c>
      <c r="I151" s="10">
        <v>8908.5</v>
      </c>
      <c r="J151" s="10">
        <v>1885.7</v>
      </c>
      <c r="K151" s="10">
        <v>1857.8</v>
      </c>
      <c r="L151" s="10">
        <v>1601.3</v>
      </c>
      <c r="M151" s="10">
        <v>1951.2</v>
      </c>
      <c r="N151" s="10">
        <v>1162.4000000000001</v>
      </c>
      <c r="O151" s="11">
        <v>2115.6</v>
      </c>
      <c r="P151" s="10">
        <f t="shared" si="8"/>
        <v>-3.1141234658362436</v>
      </c>
    </row>
    <row r="152" spans="2:16" s="8" customFormat="1" ht="34.9" hidden="1" customHeight="1">
      <c r="B152" s="14">
        <v>42186</v>
      </c>
      <c r="C152" s="7">
        <v>1890.9</v>
      </c>
      <c r="D152" s="6">
        <v>2099.1999999999998</v>
      </c>
      <c r="E152" s="6">
        <v>1683.4</v>
      </c>
      <c r="F152" s="6">
        <v>71.599999999999994</v>
      </c>
      <c r="G152" s="6">
        <v>3251</v>
      </c>
      <c r="H152" s="6">
        <v>1562.5</v>
      </c>
      <c r="I152" s="6">
        <v>9012.2000000000007</v>
      </c>
      <c r="J152" s="6">
        <v>1990.7</v>
      </c>
      <c r="K152" s="6">
        <v>1790.5</v>
      </c>
      <c r="L152" s="6">
        <v>1578.1</v>
      </c>
      <c r="M152" s="6">
        <v>1964</v>
      </c>
      <c r="N152" s="6">
        <v>1162.4000000000001</v>
      </c>
      <c r="O152" s="7">
        <v>2125.6999999999998</v>
      </c>
      <c r="P152" s="6">
        <f t="shared" si="8"/>
        <v>0.47740593685006161</v>
      </c>
    </row>
    <row r="153" spans="2:16" s="8" customFormat="1" ht="34.9" hidden="1" customHeight="1">
      <c r="B153" s="15">
        <v>42217</v>
      </c>
      <c r="C153" s="11">
        <v>1848.77</v>
      </c>
      <c r="D153" s="10">
        <v>1976.29</v>
      </c>
      <c r="E153" s="10">
        <v>1658.29</v>
      </c>
      <c r="F153" s="10">
        <v>69.25</v>
      </c>
      <c r="G153" s="10">
        <v>3251.02</v>
      </c>
      <c r="H153" s="10">
        <v>1521.3</v>
      </c>
      <c r="I153" s="10">
        <v>9008.84</v>
      </c>
      <c r="J153" s="10">
        <v>1941.25</v>
      </c>
      <c r="K153" s="10">
        <v>1730.77</v>
      </c>
      <c r="L153" s="10">
        <v>1487.26</v>
      </c>
      <c r="M153" s="10">
        <v>1955.59</v>
      </c>
      <c r="N153" s="10">
        <v>1162.4000000000001</v>
      </c>
      <c r="O153" s="11">
        <v>2097.59</v>
      </c>
      <c r="P153" s="10">
        <f t="shared" si="8"/>
        <v>-1.3223879192736376</v>
      </c>
    </row>
    <row r="154" spans="2:16" s="8" customFormat="1" ht="34.9" hidden="1" customHeight="1">
      <c r="B154" s="14">
        <v>42248</v>
      </c>
      <c r="C154" s="7">
        <v>1808.75</v>
      </c>
      <c r="D154" s="6">
        <v>1880.67</v>
      </c>
      <c r="E154" s="6">
        <v>1685.2</v>
      </c>
      <c r="F154" s="6">
        <v>70.28</v>
      </c>
      <c r="G154" s="6">
        <v>3251.02</v>
      </c>
      <c r="H154" s="6">
        <v>1473.31</v>
      </c>
      <c r="I154" s="6">
        <v>9296.81</v>
      </c>
      <c r="J154" s="6">
        <v>1831.73</v>
      </c>
      <c r="K154" s="6">
        <v>1718.35</v>
      </c>
      <c r="L154" s="6">
        <v>1438.39</v>
      </c>
      <c r="M154" s="6">
        <v>1947.63</v>
      </c>
      <c r="N154" s="6">
        <v>1162.4000000000001</v>
      </c>
      <c r="O154" s="7">
        <v>2045.23</v>
      </c>
      <c r="P154" s="6">
        <f>O154/O153*100-100</f>
        <v>-2.4961980177251064</v>
      </c>
    </row>
    <row r="155" spans="2:16" s="8" customFormat="1" ht="34.9" hidden="1" customHeight="1">
      <c r="B155" s="15">
        <v>42278</v>
      </c>
      <c r="C155" s="11">
        <v>1780.23</v>
      </c>
      <c r="D155" s="10">
        <v>1661.78</v>
      </c>
      <c r="E155" s="10">
        <v>1619.19</v>
      </c>
      <c r="F155" s="10">
        <v>71.75</v>
      </c>
      <c r="G155" s="10">
        <v>3251.02</v>
      </c>
      <c r="H155" s="10">
        <v>1468.57</v>
      </c>
      <c r="I155" s="10">
        <v>9436.7800000000007</v>
      </c>
      <c r="J155" s="10">
        <v>1826.14</v>
      </c>
      <c r="K155" s="10">
        <v>1664.93</v>
      </c>
      <c r="L155" s="10">
        <v>1366.19</v>
      </c>
      <c r="M155" s="10">
        <v>1940.54</v>
      </c>
      <c r="N155" s="10">
        <v>1162.4000000000001</v>
      </c>
      <c r="O155" s="11">
        <v>2034.42</v>
      </c>
      <c r="P155" s="10">
        <f>O155/O154*100-100</f>
        <v>-0.52854691159429024</v>
      </c>
    </row>
    <row r="156" spans="2:16" s="8" customFormat="1" ht="34.9" hidden="1" customHeight="1">
      <c r="B156" s="14">
        <v>42309</v>
      </c>
      <c r="C156" s="7">
        <v>1771.9</v>
      </c>
      <c r="D156" s="6">
        <v>1629.9</v>
      </c>
      <c r="E156" s="6">
        <v>1651.25</v>
      </c>
      <c r="F156" s="6">
        <v>67.599999999999994</v>
      </c>
      <c r="G156" s="6">
        <v>3292.97</v>
      </c>
      <c r="H156" s="6">
        <v>1514.24</v>
      </c>
      <c r="I156" s="6">
        <v>10091.33</v>
      </c>
      <c r="J156" s="6">
        <v>1743.36</v>
      </c>
      <c r="K156" s="6">
        <v>1520.9</v>
      </c>
      <c r="L156" s="6">
        <v>1310.69</v>
      </c>
      <c r="M156" s="6">
        <v>1899.62</v>
      </c>
      <c r="N156" s="6">
        <v>1162.4000000000001</v>
      </c>
      <c r="O156" s="7">
        <v>1993.72</v>
      </c>
      <c r="P156" s="6">
        <f>O156/O155*100-100</f>
        <v>-2.0005701870803563</v>
      </c>
    </row>
    <row r="157" spans="2:16" s="8" customFormat="1" ht="34.9" hidden="1" customHeight="1">
      <c r="B157" s="15">
        <v>42339</v>
      </c>
      <c r="C157" s="11">
        <v>1848.84</v>
      </c>
      <c r="D157" s="10">
        <v>1731.42</v>
      </c>
      <c r="E157" s="10">
        <v>1646.77</v>
      </c>
      <c r="F157" s="10">
        <v>73.209999999999994</v>
      </c>
      <c r="G157" s="10">
        <v>3251.02</v>
      </c>
      <c r="H157" s="10">
        <v>1605.07</v>
      </c>
      <c r="I157" s="10">
        <v>10935.42</v>
      </c>
      <c r="J157" s="10">
        <v>1782.45</v>
      </c>
      <c r="K157" s="10">
        <v>1538.3</v>
      </c>
      <c r="L157" s="10">
        <v>1348.64</v>
      </c>
      <c r="M157" s="10">
        <v>1927.9</v>
      </c>
      <c r="N157" s="10">
        <v>1162.4000000000001</v>
      </c>
      <c r="O157" s="11">
        <v>2136.3200000000002</v>
      </c>
      <c r="P157" s="10">
        <f>O157/O156*100-100</f>
        <v>7.1524587203820147</v>
      </c>
    </row>
    <row r="158" spans="2:16" s="8" customFormat="1" ht="34.9" hidden="1" customHeight="1">
      <c r="B158" s="3">
        <v>2016</v>
      </c>
      <c r="C158" s="93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3"/>
      <c r="P158" s="94"/>
    </row>
    <row r="159" spans="2:16" s="8" customFormat="1" ht="34.9" hidden="1" customHeight="1">
      <c r="B159" s="14">
        <v>42370</v>
      </c>
      <c r="C159" s="7">
        <v>1820.29</v>
      </c>
      <c r="D159" s="6">
        <v>1809.78</v>
      </c>
      <c r="E159" s="6">
        <v>1568.67</v>
      </c>
      <c r="F159" s="6">
        <v>72.52</v>
      </c>
      <c r="G159" s="6">
        <v>3292.97</v>
      </c>
      <c r="H159" s="6">
        <v>1522.38</v>
      </c>
      <c r="I159" s="6">
        <v>10630.21</v>
      </c>
      <c r="J159" s="6">
        <v>1744.28</v>
      </c>
      <c r="K159" s="6">
        <v>1536.18</v>
      </c>
      <c r="L159" s="6">
        <v>1373.97</v>
      </c>
      <c r="M159" s="6">
        <v>1951.37</v>
      </c>
      <c r="N159" s="6">
        <v>1162.4000000000001</v>
      </c>
      <c r="O159" s="7">
        <v>2147</v>
      </c>
      <c r="P159" s="6">
        <f>O159/O157*100-100</f>
        <v>0.49992510485319031</v>
      </c>
    </row>
    <row r="160" spans="2:16" s="8" customFormat="1" ht="34.9" hidden="1" customHeight="1">
      <c r="B160" s="15">
        <v>42401</v>
      </c>
      <c r="C160" s="11">
        <v>1829.47</v>
      </c>
      <c r="D160" s="10">
        <v>1761.39</v>
      </c>
      <c r="E160" s="10">
        <v>1562.44</v>
      </c>
      <c r="F160" s="10">
        <v>65.38</v>
      </c>
      <c r="G160" s="10">
        <v>3251.02</v>
      </c>
      <c r="H160" s="10">
        <v>1547.47</v>
      </c>
      <c r="I160" s="10">
        <v>11096.56</v>
      </c>
      <c r="J160" s="10">
        <v>1707.91</v>
      </c>
      <c r="K160" s="10">
        <v>1535.04</v>
      </c>
      <c r="L160" s="10">
        <v>1462.49</v>
      </c>
      <c r="M160" s="10">
        <v>1955.39</v>
      </c>
      <c r="N160" s="10">
        <v>1162.4000000000001</v>
      </c>
      <c r="O160" s="11">
        <v>2116.25</v>
      </c>
      <c r="P160" s="10">
        <f>O160/O159*100-100</f>
        <v>-1.4322310200279418</v>
      </c>
    </row>
    <row r="161" spans="2:16" s="8" customFormat="1" ht="34.9" hidden="1" customHeight="1">
      <c r="B161" s="14">
        <v>42430</v>
      </c>
      <c r="C161" s="7">
        <v>1996.66</v>
      </c>
      <c r="D161" s="6">
        <v>1786.28</v>
      </c>
      <c r="E161" s="6">
        <v>1503.58</v>
      </c>
      <c r="F161" s="6">
        <v>61.26</v>
      </c>
      <c r="G161" s="6">
        <v>3251.02</v>
      </c>
      <c r="H161" s="6">
        <v>1449.01</v>
      </c>
      <c r="I161" s="6">
        <v>15498.34</v>
      </c>
      <c r="J161" s="6">
        <v>1652.79</v>
      </c>
      <c r="K161" s="6">
        <v>1113.92</v>
      </c>
      <c r="L161" s="6">
        <v>1447.72</v>
      </c>
      <c r="M161" s="6">
        <v>1983.98</v>
      </c>
      <c r="N161" s="6">
        <v>1162.4000000000001</v>
      </c>
      <c r="O161" s="7">
        <v>2151.89</v>
      </c>
      <c r="P161" s="6">
        <f>O161/O160*100-100</f>
        <v>1.6841110454813872</v>
      </c>
    </row>
    <row r="162" spans="2:16" s="8" customFormat="1" ht="34.9" hidden="1" customHeight="1">
      <c r="B162" s="15">
        <v>42461</v>
      </c>
      <c r="C162" s="11">
        <v>1938.6</v>
      </c>
      <c r="D162" s="10">
        <v>1795.3</v>
      </c>
      <c r="E162" s="10">
        <v>1536.8</v>
      </c>
      <c r="F162" s="10">
        <v>70.7</v>
      </c>
      <c r="G162" s="10">
        <v>3796.4</v>
      </c>
      <c r="H162" s="10">
        <v>1470.1</v>
      </c>
      <c r="I162" s="10">
        <v>14934.5</v>
      </c>
      <c r="J162" s="10">
        <v>1579.4</v>
      </c>
      <c r="K162" s="10">
        <v>1096.0999999999999</v>
      </c>
      <c r="L162" s="10">
        <v>1291.8</v>
      </c>
      <c r="M162" s="10">
        <v>1929.7</v>
      </c>
      <c r="N162" s="10">
        <v>1162.4000000000001</v>
      </c>
      <c r="O162" s="11">
        <v>2094.6999999999998</v>
      </c>
      <c r="P162" s="10">
        <f>O162/O161*100-100</f>
        <v>-2.6576637281645503</v>
      </c>
    </row>
    <row r="163" spans="2:16" s="8" customFormat="1" ht="34.9" hidden="1" customHeight="1">
      <c r="B163" s="14">
        <v>42491</v>
      </c>
      <c r="C163" s="7">
        <v>2024.43</v>
      </c>
      <c r="D163" s="6">
        <v>1743.6</v>
      </c>
      <c r="E163" s="6">
        <v>1498.58</v>
      </c>
      <c r="F163" s="6">
        <v>70.739999999999995</v>
      </c>
      <c r="G163" s="6">
        <v>3796.35</v>
      </c>
      <c r="H163" s="6">
        <v>1462.28</v>
      </c>
      <c r="I163" s="6">
        <v>16762.75</v>
      </c>
      <c r="J163" s="6">
        <v>1534.88</v>
      </c>
      <c r="K163" s="6">
        <v>1095.23</v>
      </c>
      <c r="L163" s="6">
        <v>1418.5</v>
      </c>
      <c r="M163" s="6">
        <v>1921.9</v>
      </c>
      <c r="N163" s="6">
        <v>1162.4000000000001</v>
      </c>
      <c r="O163" s="7">
        <v>2118.44</v>
      </c>
      <c r="P163" s="6">
        <f t="shared" ref="P163:P166" si="9">O163/O162*100-100</f>
        <v>1.1333365159688782</v>
      </c>
    </row>
    <row r="164" spans="2:16" s="8" customFormat="1" ht="34.9" hidden="1" customHeight="1">
      <c r="B164" s="15">
        <v>42522</v>
      </c>
      <c r="C164" s="11">
        <v>2013.69</v>
      </c>
      <c r="D164" s="10">
        <v>1710.7</v>
      </c>
      <c r="E164" s="10">
        <v>1493.77</v>
      </c>
      <c r="F164" s="10">
        <v>81.790000000000006</v>
      </c>
      <c r="G164" s="10">
        <v>3460.76</v>
      </c>
      <c r="H164" s="10">
        <v>1460.58</v>
      </c>
      <c r="I164" s="10">
        <v>16872.45</v>
      </c>
      <c r="J164" s="10">
        <v>1495.64</v>
      </c>
      <c r="K164" s="10">
        <v>1046.6400000000001</v>
      </c>
      <c r="L164" s="10">
        <v>1391.92</v>
      </c>
      <c r="M164" s="10">
        <v>1947.1</v>
      </c>
      <c r="N164" s="10">
        <v>1162.4000000000001</v>
      </c>
      <c r="O164" s="11">
        <v>2091.35</v>
      </c>
      <c r="P164" s="10">
        <f t="shared" si="9"/>
        <v>-1.278771171239228</v>
      </c>
    </row>
    <row r="165" spans="2:16" s="8" customFormat="1" ht="34.9" hidden="1" customHeight="1">
      <c r="B165" s="14">
        <v>42552</v>
      </c>
      <c r="C165" s="7">
        <v>2032.02</v>
      </c>
      <c r="D165" s="6">
        <v>1597.33</v>
      </c>
      <c r="E165" s="6">
        <v>1565.59</v>
      </c>
      <c r="F165" s="6">
        <v>79.41</v>
      </c>
      <c r="G165" s="6">
        <v>3586.28</v>
      </c>
      <c r="H165" s="6">
        <v>1484.57</v>
      </c>
      <c r="I165" s="6">
        <v>17537.080000000002</v>
      </c>
      <c r="J165" s="6">
        <v>1462.06</v>
      </c>
      <c r="K165" s="6">
        <v>1051.93</v>
      </c>
      <c r="L165" s="6">
        <v>1345.65</v>
      </c>
      <c r="M165" s="6">
        <v>1999.63</v>
      </c>
      <c r="N165" s="6">
        <v>1162.4000000000001</v>
      </c>
      <c r="O165" s="7">
        <v>2102.13</v>
      </c>
      <c r="P165" s="6">
        <f t="shared" si="9"/>
        <v>0.51545652329836855</v>
      </c>
    </row>
    <row r="166" spans="2:16" s="8" customFormat="1" ht="34.9" hidden="1" customHeight="1">
      <c r="B166" s="15">
        <v>42583</v>
      </c>
      <c r="C166" s="11">
        <v>1911.66</v>
      </c>
      <c r="D166" s="10">
        <v>1610.86</v>
      </c>
      <c r="E166" s="10">
        <v>1546.83</v>
      </c>
      <c r="F166" s="10">
        <v>77.03</v>
      </c>
      <c r="G166" s="10">
        <v>4231.8100000000004</v>
      </c>
      <c r="H166" s="10">
        <v>1514.98</v>
      </c>
      <c r="I166" s="10">
        <v>15419.87</v>
      </c>
      <c r="J166" s="10">
        <v>1412.67</v>
      </c>
      <c r="K166" s="10">
        <v>1011.02</v>
      </c>
      <c r="L166" s="10">
        <v>1317.08</v>
      </c>
      <c r="M166" s="10">
        <v>2073.15</v>
      </c>
      <c r="N166" s="10">
        <v>1162.4000000000001</v>
      </c>
      <c r="O166" s="11">
        <v>2076.83</v>
      </c>
      <c r="P166" s="10">
        <f t="shared" si="9"/>
        <v>-1.2035411701464795</v>
      </c>
    </row>
    <row r="167" spans="2:16" s="8" customFormat="1" ht="34.9" hidden="1" customHeight="1">
      <c r="B167" s="14">
        <v>42614</v>
      </c>
      <c r="C167" s="7">
        <v>1924.94</v>
      </c>
      <c r="D167" s="6">
        <v>1643.7</v>
      </c>
      <c r="E167" s="6">
        <v>1547.74</v>
      </c>
      <c r="F167" s="6">
        <v>77.03</v>
      </c>
      <c r="G167" s="6">
        <v>4231.8100000000004</v>
      </c>
      <c r="H167" s="6">
        <v>1533.6</v>
      </c>
      <c r="I167" s="6">
        <v>15622.84</v>
      </c>
      <c r="J167" s="6">
        <v>1425.5</v>
      </c>
      <c r="K167" s="6">
        <v>984.59</v>
      </c>
      <c r="L167" s="6">
        <v>1277.83</v>
      </c>
      <c r="M167" s="6">
        <v>2028.9</v>
      </c>
      <c r="N167" s="6">
        <v>1162.4000000000001</v>
      </c>
      <c r="O167" s="7">
        <v>2120.46</v>
      </c>
      <c r="P167" s="6">
        <f>O167/O166*100-100</f>
        <v>2.1007978505703306</v>
      </c>
    </row>
    <row r="168" spans="2:16" s="8" customFormat="1" ht="34.9" hidden="1" customHeight="1">
      <c r="B168" s="15">
        <v>42644</v>
      </c>
      <c r="C168" s="11">
        <v>1923.66</v>
      </c>
      <c r="D168" s="10">
        <v>1580.4</v>
      </c>
      <c r="E168" s="10">
        <v>1577.24</v>
      </c>
      <c r="F168" s="10">
        <v>77.03</v>
      </c>
      <c r="G168" s="10">
        <v>4034.57</v>
      </c>
      <c r="H168" s="10">
        <v>1536.02</v>
      </c>
      <c r="I168" s="10">
        <v>15962.01</v>
      </c>
      <c r="J168" s="10">
        <v>1369.08</v>
      </c>
      <c r="K168" s="10">
        <v>1015.19</v>
      </c>
      <c r="L168" s="10">
        <v>1275.8399999999999</v>
      </c>
      <c r="M168" s="10">
        <v>2089.02</v>
      </c>
      <c r="N168" s="10">
        <v>1162.4000000000001</v>
      </c>
      <c r="O168" s="11">
        <v>2107.58</v>
      </c>
      <c r="P168" s="10">
        <f>O168/O167*100-100</f>
        <v>-0.60741537213624497</v>
      </c>
    </row>
    <row r="169" spans="2:16" s="8" customFormat="1" ht="34.9" hidden="1" customHeight="1">
      <c r="B169" s="14">
        <v>42675</v>
      </c>
      <c r="C169" s="7">
        <v>2082.04</v>
      </c>
      <c r="D169" s="6">
        <v>1577.45</v>
      </c>
      <c r="E169" s="6">
        <v>1601.23</v>
      </c>
      <c r="F169" s="6">
        <v>77.03</v>
      </c>
      <c r="G169" s="6">
        <v>4698.03</v>
      </c>
      <c r="H169" s="6">
        <v>1522.85</v>
      </c>
      <c r="I169" s="6">
        <v>18337.55</v>
      </c>
      <c r="J169" s="6">
        <v>1477.45</v>
      </c>
      <c r="K169" s="6">
        <v>974.3</v>
      </c>
      <c r="L169" s="6">
        <v>1218.33</v>
      </c>
      <c r="M169" s="6">
        <v>2159.5500000000002</v>
      </c>
      <c r="N169" s="6">
        <v>1162.4000000000001</v>
      </c>
      <c r="O169" s="7">
        <v>2170.98</v>
      </c>
      <c r="P169" s="6">
        <f>O169/O168*100-100</f>
        <v>3.0081894874690391</v>
      </c>
    </row>
    <row r="170" spans="2:16" s="8" customFormat="1" ht="34.9" hidden="1" customHeight="1">
      <c r="B170" s="15">
        <v>42705</v>
      </c>
      <c r="C170" s="11">
        <v>2092.9899999999998</v>
      </c>
      <c r="D170" s="10">
        <v>1539.23</v>
      </c>
      <c r="E170" s="10">
        <v>1544.11</v>
      </c>
      <c r="F170" s="10">
        <v>77.03</v>
      </c>
      <c r="G170" s="10">
        <v>4841.4799999999996</v>
      </c>
      <c r="H170" s="10">
        <v>1537.26</v>
      </c>
      <c r="I170" s="10">
        <v>18499.439999999999</v>
      </c>
      <c r="J170" s="10">
        <v>1502.11</v>
      </c>
      <c r="K170" s="10">
        <v>946.29</v>
      </c>
      <c r="L170" s="10">
        <v>1188.8499999999999</v>
      </c>
      <c r="M170" s="10">
        <v>2212.35</v>
      </c>
      <c r="N170" s="10">
        <v>1162.4000000000001</v>
      </c>
      <c r="O170" s="11">
        <v>2170.29</v>
      </c>
      <c r="P170" s="10">
        <f>O170/O169*100-100</f>
        <v>-3.178288146366981E-2</v>
      </c>
    </row>
    <row r="171" spans="2:16" s="8" customFormat="1" ht="34.9" hidden="1" customHeight="1">
      <c r="B171" s="3">
        <v>2017</v>
      </c>
      <c r="C171" s="93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3"/>
      <c r="P171" s="94"/>
    </row>
    <row r="172" spans="2:16" s="8" customFormat="1" ht="34.9" hidden="1" customHeight="1">
      <c r="B172" s="14">
        <v>42736</v>
      </c>
      <c r="C172" s="7">
        <v>1999.67</v>
      </c>
      <c r="D172" s="6">
        <v>1531.52</v>
      </c>
      <c r="E172" s="6">
        <v>1502.7</v>
      </c>
      <c r="F172" s="6">
        <v>79.86</v>
      </c>
      <c r="G172" s="6">
        <v>4626.3100000000004</v>
      </c>
      <c r="H172" s="6">
        <v>1534.75</v>
      </c>
      <c r="I172" s="6">
        <v>17530.91</v>
      </c>
      <c r="J172" s="6">
        <v>1384.13</v>
      </c>
      <c r="K172" s="6">
        <v>984.17</v>
      </c>
      <c r="L172" s="6">
        <v>1197.1099999999999</v>
      </c>
      <c r="M172" s="6">
        <v>2169.58</v>
      </c>
      <c r="N172" s="6">
        <v>1162.4000000000001</v>
      </c>
      <c r="O172" s="7">
        <v>2161.4699999999998</v>
      </c>
      <c r="P172" s="6">
        <f>O172/O170*100-100</f>
        <v>-0.40639730174308397</v>
      </c>
    </row>
    <row r="173" spans="2:16" s="8" customFormat="1" ht="34.9" hidden="1" customHeight="1">
      <c r="B173" s="15">
        <v>42767</v>
      </c>
      <c r="C173" s="11">
        <v>2069.48</v>
      </c>
      <c r="D173" s="10">
        <v>1549.27</v>
      </c>
      <c r="E173" s="10">
        <v>1488.95</v>
      </c>
      <c r="F173" s="10">
        <v>81.27</v>
      </c>
      <c r="G173" s="10">
        <v>4949.07</v>
      </c>
      <c r="H173" s="10">
        <v>1500.59</v>
      </c>
      <c r="I173" s="10">
        <v>18880.599999999999</v>
      </c>
      <c r="J173" s="10">
        <v>1403.77</v>
      </c>
      <c r="K173" s="10">
        <v>949.84</v>
      </c>
      <c r="L173" s="10">
        <v>1184.3</v>
      </c>
      <c r="M173" s="10">
        <v>2154.0500000000002</v>
      </c>
      <c r="N173" s="10">
        <v>1162.4000000000001</v>
      </c>
      <c r="O173" s="11">
        <v>2212.7600000000002</v>
      </c>
      <c r="P173" s="10">
        <f>O173/O172*100-100</f>
        <v>2.3729221316974218</v>
      </c>
    </row>
    <row r="174" spans="2:16" s="8" customFormat="1" ht="34.9" hidden="1" customHeight="1">
      <c r="B174" s="14">
        <v>42795</v>
      </c>
      <c r="C174" s="7">
        <v>2086.7399999999998</v>
      </c>
      <c r="D174" s="6">
        <v>1574.44</v>
      </c>
      <c r="E174" s="6">
        <v>1451.43</v>
      </c>
      <c r="F174" s="6">
        <v>70.67</v>
      </c>
      <c r="G174" s="6">
        <v>4931.1400000000003</v>
      </c>
      <c r="H174" s="6">
        <v>1500.49</v>
      </c>
      <c r="I174" s="6">
        <v>18214.45</v>
      </c>
      <c r="J174" s="6">
        <v>1562.91</v>
      </c>
      <c r="K174" s="6">
        <v>978.08</v>
      </c>
      <c r="L174" s="6">
        <v>1117.57</v>
      </c>
      <c r="M174" s="6">
        <v>2102.0500000000002</v>
      </c>
      <c r="N174" s="6">
        <v>1162.4000000000001</v>
      </c>
      <c r="O174" s="7">
        <v>2250.1799999999998</v>
      </c>
      <c r="P174" s="6">
        <f>O174/O173*100-100</f>
        <v>1.6911007068095785</v>
      </c>
    </row>
    <row r="175" spans="2:16" s="8" customFormat="1" ht="34.9" hidden="1" customHeight="1">
      <c r="B175" s="15">
        <v>42826</v>
      </c>
      <c r="C175" s="11">
        <v>2056.8200000000002</v>
      </c>
      <c r="D175" s="10">
        <v>1513.88</v>
      </c>
      <c r="E175" s="10">
        <v>1349.52</v>
      </c>
      <c r="F175" s="10">
        <v>70.67</v>
      </c>
      <c r="G175" s="10">
        <v>4913.21</v>
      </c>
      <c r="H175" s="10">
        <v>1446.53</v>
      </c>
      <c r="I175" s="10">
        <v>17576.169999999998</v>
      </c>
      <c r="J175" s="10">
        <v>1647.72</v>
      </c>
      <c r="K175" s="10">
        <v>947.68</v>
      </c>
      <c r="L175" s="10">
        <v>1151.93</v>
      </c>
      <c r="M175" s="10">
        <v>1964.14</v>
      </c>
      <c r="N175" s="10">
        <v>1162.4000000000001</v>
      </c>
      <c r="O175" s="11">
        <v>2185.2600000000002</v>
      </c>
      <c r="P175" s="10">
        <f>O175/O174*100-100</f>
        <v>-2.885102525131316</v>
      </c>
    </row>
    <row r="176" spans="2:16" s="8" customFormat="1" ht="34.9" hidden="1" customHeight="1">
      <c r="B176" s="14">
        <v>42856</v>
      </c>
      <c r="C176" s="7">
        <v>2172.3000000000002</v>
      </c>
      <c r="D176" s="6">
        <v>1451.49</v>
      </c>
      <c r="E176" s="6">
        <v>1360.01</v>
      </c>
      <c r="F176" s="6">
        <v>70.67</v>
      </c>
      <c r="G176" s="6">
        <v>4931.1400000000003</v>
      </c>
      <c r="H176" s="6">
        <v>1432.38</v>
      </c>
      <c r="I176" s="6">
        <v>20348.669999999998</v>
      </c>
      <c r="J176" s="6">
        <v>1603.21</v>
      </c>
      <c r="K176" s="6">
        <v>929.62</v>
      </c>
      <c r="L176" s="6">
        <v>1091.3</v>
      </c>
      <c r="M176" s="6">
        <v>1964.63</v>
      </c>
      <c r="N176" s="6">
        <v>1162.4000000000001</v>
      </c>
      <c r="O176" s="7">
        <v>2175.1799999999998</v>
      </c>
      <c r="P176" s="6">
        <f t="shared" ref="P176:P179" si="10">O176/O175*100-100</f>
        <v>-0.461272342879127</v>
      </c>
    </row>
    <row r="177" spans="2:16" s="8" customFormat="1" ht="34.9" hidden="1" customHeight="1">
      <c r="B177" s="15">
        <v>42887</v>
      </c>
      <c r="C177" s="11">
        <v>2141.17</v>
      </c>
      <c r="D177" s="10">
        <v>1445.55</v>
      </c>
      <c r="E177" s="10">
        <v>1397.6</v>
      </c>
      <c r="F177" s="10">
        <v>70.67</v>
      </c>
      <c r="G177" s="10">
        <v>5200.1099999999997</v>
      </c>
      <c r="H177" s="10">
        <v>1440.46</v>
      </c>
      <c r="I177" s="10">
        <v>19825.45</v>
      </c>
      <c r="J177" s="10">
        <v>1593.09</v>
      </c>
      <c r="K177" s="10">
        <v>909.51</v>
      </c>
      <c r="L177" s="10">
        <v>1093.04</v>
      </c>
      <c r="M177" s="10">
        <v>1931.05</v>
      </c>
      <c r="N177" s="10">
        <v>1162.4000000000001</v>
      </c>
      <c r="O177" s="11">
        <v>2167.4</v>
      </c>
      <c r="P177" s="10">
        <f t="shared" si="10"/>
        <v>-0.35767154902121945</v>
      </c>
    </row>
    <row r="178" spans="2:16" s="8" customFormat="1" ht="34.9" hidden="1" customHeight="1">
      <c r="B178" s="14">
        <v>42917</v>
      </c>
      <c r="C178" s="7">
        <v>2087.1799999999998</v>
      </c>
      <c r="D178" s="6">
        <v>1395.67</v>
      </c>
      <c r="E178" s="6">
        <v>1380.63</v>
      </c>
      <c r="F178" s="6">
        <v>70.67</v>
      </c>
      <c r="G178" s="6">
        <v>5540.81</v>
      </c>
      <c r="H178" s="6">
        <v>1389.94</v>
      </c>
      <c r="I178" s="6">
        <v>18943.650000000001</v>
      </c>
      <c r="J178" s="6">
        <v>1593.45</v>
      </c>
      <c r="K178" s="6">
        <v>937.81</v>
      </c>
      <c r="L178" s="6">
        <v>1053.6400000000001</v>
      </c>
      <c r="M178" s="6">
        <v>1933</v>
      </c>
      <c r="N178" s="6">
        <v>1162.4000000000001</v>
      </c>
      <c r="O178" s="7">
        <v>2139.8200000000002</v>
      </c>
      <c r="P178" s="6">
        <f t="shared" si="10"/>
        <v>-1.2724923871920311</v>
      </c>
    </row>
    <row r="179" spans="2:16" s="8" customFormat="1" ht="34.9" hidden="1" customHeight="1">
      <c r="B179" s="15">
        <v>42948</v>
      </c>
      <c r="C179" s="11">
        <v>2141.7600000000002</v>
      </c>
      <c r="D179" s="10">
        <v>1283.81</v>
      </c>
      <c r="E179" s="10">
        <v>1468.27</v>
      </c>
      <c r="F179" s="10">
        <v>70.67</v>
      </c>
      <c r="G179" s="10">
        <v>5971.16</v>
      </c>
      <c r="H179" s="10">
        <v>1380.05</v>
      </c>
      <c r="I179" s="10">
        <v>20192.650000000001</v>
      </c>
      <c r="J179" s="10">
        <v>1589.46</v>
      </c>
      <c r="K179" s="10">
        <v>949.96</v>
      </c>
      <c r="L179" s="10">
        <v>1213.19</v>
      </c>
      <c r="M179" s="10">
        <v>1812.44</v>
      </c>
      <c r="N179" s="10">
        <v>1162.4000000000001</v>
      </c>
      <c r="O179" s="11">
        <v>2157.2600000000002</v>
      </c>
      <c r="P179" s="10">
        <f t="shared" si="10"/>
        <v>0.81502182426559955</v>
      </c>
    </row>
    <row r="180" spans="2:16" s="8" customFormat="1" ht="34.9" hidden="1" customHeight="1">
      <c r="B180" s="14">
        <v>42979</v>
      </c>
      <c r="C180" s="7">
        <v>2115.61</v>
      </c>
      <c r="D180" s="6">
        <v>1388.75</v>
      </c>
      <c r="E180" s="6">
        <v>1464.83</v>
      </c>
      <c r="F180" s="6">
        <v>70.67</v>
      </c>
      <c r="G180" s="6">
        <v>6186.34</v>
      </c>
      <c r="H180" s="6">
        <v>1394.23</v>
      </c>
      <c r="I180" s="6">
        <v>19530.28</v>
      </c>
      <c r="J180" s="6">
        <v>1586.73</v>
      </c>
      <c r="K180" s="6">
        <v>953.14</v>
      </c>
      <c r="L180" s="6">
        <v>1183.93</v>
      </c>
      <c r="M180" s="6">
        <v>1772.15</v>
      </c>
      <c r="N180" s="6">
        <v>1162.4000000000001</v>
      </c>
      <c r="O180" s="7">
        <v>2121.52</v>
      </c>
      <c r="P180" s="6">
        <f>O180/O179*100-100</f>
        <v>-1.6567312238673253</v>
      </c>
    </row>
    <row r="181" spans="2:16" s="8" customFormat="1" ht="34.9" hidden="1" customHeight="1">
      <c r="B181" s="15">
        <v>43009</v>
      </c>
      <c r="C181" s="11">
        <v>2114.33</v>
      </c>
      <c r="D181" s="10">
        <v>1434.6</v>
      </c>
      <c r="E181" s="10">
        <v>1415</v>
      </c>
      <c r="F181" s="10">
        <v>70.67</v>
      </c>
      <c r="G181" s="10">
        <v>6186.34</v>
      </c>
      <c r="H181" s="10">
        <v>1362.58</v>
      </c>
      <c r="I181" s="10">
        <v>20525.29</v>
      </c>
      <c r="J181" s="10">
        <v>1486.56</v>
      </c>
      <c r="K181" s="10">
        <v>930.51</v>
      </c>
      <c r="L181" s="10">
        <v>1236.6400000000001</v>
      </c>
      <c r="M181" s="10">
        <v>1697.02</v>
      </c>
      <c r="N181" s="10">
        <v>1162.4000000000001</v>
      </c>
      <c r="O181" s="11">
        <v>2093.19</v>
      </c>
      <c r="P181" s="10">
        <f>O181/O180*100-100</f>
        <v>-1.3353633244089167</v>
      </c>
    </row>
    <row r="182" spans="2:16" s="8" customFormat="1" ht="34.9" hidden="1" customHeight="1">
      <c r="B182" s="14">
        <v>43040</v>
      </c>
      <c r="C182" s="7">
        <v>2184.33</v>
      </c>
      <c r="D182" s="6">
        <v>1386.79</v>
      </c>
      <c r="E182" s="6">
        <v>1383.56</v>
      </c>
      <c r="F182" s="6">
        <v>70.67</v>
      </c>
      <c r="G182" s="6">
        <v>5827.71</v>
      </c>
      <c r="H182" s="6">
        <v>1369.15</v>
      </c>
      <c r="I182" s="6">
        <v>22424.06</v>
      </c>
      <c r="J182" s="6">
        <v>1465.41</v>
      </c>
      <c r="K182" s="6">
        <v>928.14</v>
      </c>
      <c r="L182" s="6">
        <v>1181.29</v>
      </c>
      <c r="M182" s="6">
        <v>1764.8</v>
      </c>
      <c r="N182" s="6">
        <v>1162.4000000000001</v>
      </c>
      <c r="O182" s="7">
        <v>2122.4699999999998</v>
      </c>
      <c r="P182" s="6">
        <f>O182/O181*100-100</f>
        <v>1.3988218938557822</v>
      </c>
    </row>
    <row r="183" spans="2:16" s="8" customFormat="1" ht="34.9" hidden="1" customHeight="1">
      <c r="B183" s="15">
        <v>43070</v>
      </c>
      <c r="C183" s="11">
        <v>2229.54</v>
      </c>
      <c r="D183" s="10">
        <v>1318.86</v>
      </c>
      <c r="E183" s="10">
        <v>1329.52</v>
      </c>
      <c r="F183" s="10">
        <v>70.67</v>
      </c>
      <c r="G183" s="10">
        <v>5827.71</v>
      </c>
      <c r="H183" s="10">
        <v>1380.1</v>
      </c>
      <c r="I183" s="10">
        <v>23817.07</v>
      </c>
      <c r="J183" s="10">
        <v>1460.48</v>
      </c>
      <c r="K183" s="10">
        <v>917.58</v>
      </c>
      <c r="L183" s="10">
        <v>1083.04</v>
      </c>
      <c r="M183" s="10">
        <v>1786.97</v>
      </c>
      <c r="N183" s="10">
        <v>1162.4000000000001</v>
      </c>
      <c r="O183" s="11">
        <v>2126.7800000000002</v>
      </c>
      <c r="P183" s="10">
        <f>O183/O182*100-100</f>
        <v>0.2030652965648585</v>
      </c>
    </row>
    <row r="184" spans="2:16" s="8" customFormat="1" ht="34.9" hidden="1" customHeight="1">
      <c r="B184" s="3">
        <v>2018</v>
      </c>
      <c r="C184" s="93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3"/>
      <c r="P184" s="94"/>
    </row>
    <row r="185" spans="2:16" s="8" customFormat="1" ht="34.9" hidden="1" customHeight="1">
      <c r="B185" s="14">
        <v>43101</v>
      </c>
      <c r="C185" s="7">
        <v>2393.7800000000002</v>
      </c>
      <c r="D185" s="6">
        <v>1242.47</v>
      </c>
      <c r="E185" s="6">
        <v>1312.91</v>
      </c>
      <c r="F185" s="6">
        <v>70.67</v>
      </c>
      <c r="G185" s="6">
        <v>5881.5</v>
      </c>
      <c r="H185" s="6">
        <v>1392.27</v>
      </c>
      <c r="I185" s="6">
        <v>27517.11</v>
      </c>
      <c r="J185" s="6">
        <v>1475.67</v>
      </c>
      <c r="K185" s="6">
        <v>944.84</v>
      </c>
      <c r="L185" s="6">
        <v>1100.55</v>
      </c>
      <c r="M185" s="6">
        <v>1807.51</v>
      </c>
      <c r="N185" s="6">
        <v>1162.4000000000001</v>
      </c>
      <c r="O185" s="7">
        <v>2193.3000000000002</v>
      </c>
      <c r="P185" s="6">
        <f>O185/O183*100-100</f>
        <v>3.1277330048241794</v>
      </c>
    </row>
    <row r="186" spans="2:16" s="8" customFormat="1" ht="34.9" hidden="1" customHeight="1">
      <c r="B186" s="15">
        <v>43132</v>
      </c>
      <c r="C186" s="11">
        <v>2266.31</v>
      </c>
      <c r="D186" s="10">
        <v>1087.9000000000001</v>
      </c>
      <c r="E186" s="10">
        <v>1301.55</v>
      </c>
      <c r="F186" s="10">
        <v>70.67</v>
      </c>
      <c r="G186" s="10">
        <v>5881.5</v>
      </c>
      <c r="H186" s="10">
        <v>1384.99</v>
      </c>
      <c r="I186" s="10">
        <v>25109.61</v>
      </c>
      <c r="J186" s="10">
        <v>1485.3</v>
      </c>
      <c r="K186" s="10">
        <v>929.52</v>
      </c>
      <c r="L186" s="10">
        <v>1104.56</v>
      </c>
      <c r="M186" s="10">
        <v>1744.36</v>
      </c>
      <c r="N186" s="10">
        <v>1162.4000000000001</v>
      </c>
      <c r="O186" s="11">
        <v>2219.67</v>
      </c>
      <c r="P186" s="10">
        <f>O186/O185*100-100</f>
        <v>1.2022979072630307</v>
      </c>
    </row>
    <row r="187" spans="2:16" s="8" customFormat="1" ht="34.9" hidden="1" customHeight="1">
      <c r="B187" s="14">
        <v>43160</v>
      </c>
      <c r="C187" s="7">
        <v>2312.5500000000002</v>
      </c>
      <c r="D187" s="6">
        <v>1107.53</v>
      </c>
      <c r="E187" s="6">
        <v>1287.8399999999999</v>
      </c>
      <c r="F187" s="6">
        <v>70.67</v>
      </c>
      <c r="G187" s="6">
        <v>5881.5</v>
      </c>
      <c r="H187" s="6">
        <v>1370.55</v>
      </c>
      <c r="I187" s="6">
        <v>25982.87</v>
      </c>
      <c r="J187" s="6">
        <v>1476.05</v>
      </c>
      <c r="K187" s="6">
        <v>925.4</v>
      </c>
      <c r="L187" s="6">
        <v>1343.68</v>
      </c>
      <c r="M187" s="6">
        <v>1782.46</v>
      </c>
      <c r="N187" s="6">
        <v>1162.4000000000001</v>
      </c>
      <c r="O187" s="7">
        <v>2233.2600000000002</v>
      </c>
      <c r="P187" s="6">
        <f>O187/O186*100-100</f>
        <v>0.61225317276894486</v>
      </c>
    </row>
    <row r="188" spans="2:16" s="8" customFormat="1" ht="34.9" hidden="1" customHeight="1">
      <c r="B188" s="15">
        <v>43191</v>
      </c>
      <c r="C188" s="11">
        <v>2157.5</v>
      </c>
      <c r="D188" s="10">
        <v>1085.2</v>
      </c>
      <c r="E188" s="10">
        <v>1228.3</v>
      </c>
      <c r="F188" s="10">
        <v>65.7</v>
      </c>
      <c r="G188" s="10">
        <v>5594.6</v>
      </c>
      <c r="H188" s="10">
        <v>1379</v>
      </c>
      <c r="I188" s="10">
        <v>23470.2</v>
      </c>
      <c r="J188" s="10">
        <v>1417.2</v>
      </c>
      <c r="K188" s="10">
        <v>865.4</v>
      </c>
      <c r="L188" s="10">
        <v>1390</v>
      </c>
      <c r="M188" s="10">
        <v>1664.9</v>
      </c>
      <c r="N188" s="10">
        <v>1162.4000000000001</v>
      </c>
      <c r="O188" s="11">
        <v>2191.5</v>
      </c>
      <c r="P188" s="10">
        <f>O188/O187*100-100</f>
        <v>-1.8699121463689892</v>
      </c>
    </row>
    <row r="189" spans="2:16" s="8" customFormat="1" ht="34.9" hidden="1" customHeight="1">
      <c r="B189" s="14">
        <v>43221</v>
      </c>
      <c r="C189" s="7">
        <v>2211.3000000000002</v>
      </c>
      <c r="D189" s="6">
        <v>1043.7</v>
      </c>
      <c r="E189" s="6">
        <v>1177.2</v>
      </c>
      <c r="F189" s="6">
        <v>65.7</v>
      </c>
      <c r="G189" s="6">
        <v>5863.6</v>
      </c>
      <c r="H189" s="6">
        <v>1325.1</v>
      </c>
      <c r="I189" s="6">
        <v>24323.9</v>
      </c>
      <c r="J189" s="6">
        <v>1493.7</v>
      </c>
      <c r="K189" s="6">
        <v>782.8</v>
      </c>
      <c r="L189" s="6">
        <v>1494</v>
      </c>
      <c r="M189" s="6">
        <v>1646</v>
      </c>
      <c r="N189" s="6">
        <v>1162.4000000000001</v>
      </c>
      <c r="O189" s="7">
        <v>2096</v>
      </c>
      <c r="P189" s="6">
        <f t="shared" ref="P189:P192" si="11">O189/O188*100-100</f>
        <v>-4.3577458361852592</v>
      </c>
    </row>
    <row r="190" spans="2:16" s="8" customFormat="1" ht="34.9" hidden="1" customHeight="1">
      <c r="B190" s="15">
        <v>43252</v>
      </c>
      <c r="C190" s="11">
        <v>2116.61</v>
      </c>
      <c r="D190" s="10">
        <v>1017.57</v>
      </c>
      <c r="E190" s="10">
        <v>1198.9100000000001</v>
      </c>
      <c r="F190" s="10">
        <v>65.7</v>
      </c>
      <c r="G190" s="10">
        <v>5863.57</v>
      </c>
      <c r="H190" s="10">
        <v>1310.1600000000001</v>
      </c>
      <c r="I190" s="10">
        <v>23042.93</v>
      </c>
      <c r="J190" s="10">
        <v>1418.64</v>
      </c>
      <c r="K190" s="10">
        <v>797.91</v>
      </c>
      <c r="L190" s="10">
        <v>1383.42</v>
      </c>
      <c r="M190" s="10">
        <v>1618.25</v>
      </c>
      <c r="N190" s="10">
        <v>1162.4000000000001</v>
      </c>
      <c r="O190" s="11">
        <v>2070.44</v>
      </c>
      <c r="P190" s="10">
        <f t="shared" si="11"/>
        <v>-1.2194656488549498</v>
      </c>
    </row>
    <row r="191" spans="2:16" s="8" customFormat="1" ht="34.9" hidden="1" customHeight="1">
      <c r="B191" s="14">
        <v>43282</v>
      </c>
      <c r="C191" s="7">
        <v>2025.6468229306811</v>
      </c>
      <c r="D191" s="6">
        <v>977.14526262022594</v>
      </c>
      <c r="E191" s="6">
        <v>1182.7270010861052</v>
      </c>
      <c r="F191" s="6">
        <v>62.668541560712775</v>
      </c>
      <c r="G191" s="6">
        <v>5558.7393758033986</v>
      </c>
      <c r="H191" s="6">
        <v>1302.4899153647627</v>
      </c>
      <c r="I191" s="6">
        <v>21358.822240519039</v>
      </c>
      <c r="J191" s="6">
        <v>1420.9165687454929</v>
      </c>
      <c r="K191" s="6">
        <v>728.30529109555994</v>
      </c>
      <c r="L191" s="6">
        <v>1310.8542640342407</v>
      </c>
      <c r="M191" s="6">
        <v>1594.5172179926169</v>
      </c>
      <c r="N191" s="6">
        <v>1162.416871274771</v>
      </c>
      <c r="O191" s="7">
        <v>2007.8176774422745</v>
      </c>
      <c r="P191" s="6">
        <f t="shared" si="11"/>
        <v>-3.024590065769857</v>
      </c>
    </row>
    <row r="192" spans="2:16" s="8" customFormat="1" ht="34.9" hidden="1" customHeight="1">
      <c r="B192" s="15">
        <v>43313</v>
      </c>
      <c r="C192" s="11">
        <v>1952.62</v>
      </c>
      <c r="D192" s="10">
        <v>960.02</v>
      </c>
      <c r="E192" s="10">
        <v>1163.79</v>
      </c>
      <c r="F192" s="10">
        <v>59.61</v>
      </c>
      <c r="G192" s="10">
        <v>5863.57</v>
      </c>
      <c r="H192" s="10">
        <v>1291.73</v>
      </c>
      <c r="I192" s="10">
        <v>19917.96</v>
      </c>
      <c r="J192" s="10">
        <v>1393.32</v>
      </c>
      <c r="K192" s="10">
        <v>775.44</v>
      </c>
      <c r="L192" s="10">
        <v>1290.3399999999999</v>
      </c>
      <c r="M192" s="10">
        <v>1647.26</v>
      </c>
      <c r="N192" s="10">
        <v>1162.416871274771</v>
      </c>
      <c r="O192" s="11">
        <v>1985.81</v>
      </c>
      <c r="P192" s="10">
        <f t="shared" si="11"/>
        <v>-1.0960993963510646</v>
      </c>
    </row>
    <row r="193" spans="2:16" s="8" customFormat="1" ht="34.9" hidden="1" customHeight="1">
      <c r="B193" s="14">
        <v>43344</v>
      </c>
      <c r="C193" s="7">
        <v>1981.94</v>
      </c>
      <c r="D193" s="6">
        <v>922.88</v>
      </c>
      <c r="E193" s="6">
        <v>1159.58</v>
      </c>
      <c r="F193" s="6">
        <v>58.08</v>
      </c>
      <c r="G193" s="6">
        <v>5307.7</v>
      </c>
      <c r="H193" s="6">
        <v>1260.77</v>
      </c>
      <c r="I193" s="6">
        <v>20453.599999999999</v>
      </c>
      <c r="J193" s="6">
        <v>1415.62</v>
      </c>
      <c r="K193" s="6">
        <v>781.4</v>
      </c>
      <c r="L193" s="6">
        <v>1278.1099999999999</v>
      </c>
      <c r="M193" s="6">
        <v>1722.74</v>
      </c>
      <c r="N193" s="6">
        <v>1162.416871274771</v>
      </c>
      <c r="O193" s="7">
        <v>1975.63</v>
      </c>
      <c r="P193" s="6">
        <f>O193/O192*100-100</f>
        <v>-0.51263716065483322</v>
      </c>
    </row>
    <row r="194" spans="2:16" s="8" customFormat="1" ht="34.9" hidden="1" customHeight="1">
      <c r="B194" s="15">
        <v>43374</v>
      </c>
      <c r="C194" s="11">
        <v>2058.39</v>
      </c>
      <c r="D194" s="10">
        <v>923.85</v>
      </c>
      <c r="E194" s="10">
        <v>1242.51</v>
      </c>
      <c r="F194" s="10">
        <v>58.85</v>
      </c>
      <c r="G194" s="10">
        <v>4805.62</v>
      </c>
      <c r="H194" s="10">
        <v>1271.51</v>
      </c>
      <c r="I194" s="10">
        <v>21223.68</v>
      </c>
      <c r="J194" s="10">
        <v>1479.16</v>
      </c>
      <c r="K194" s="10">
        <v>926.15</v>
      </c>
      <c r="L194" s="10">
        <v>1303.6500000000001</v>
      </c>
      <c r="M194" s="10">
        <v>1696.56</v>
      </c>
      <c r="N194" s="10">
        <v>1162.416871274771</v>
      </c>
      <c r="O194" s="11">
        <v>1958.68</v>
      </c>
      <c r="P194" s="10">
        <f>O194/O193*100-100</f>
        <v>-0.8579541715807153</v>
      </c>
    </row>
    <row r="195" spans="2:16" s="8" customFormat="1" ht="34.9" hidden="1" customHeight="1">
      <c r="B195" s="14">
        <v>43405</v>
      </c>
      <c r="C195" s="7">
        <v>1832.59</v>
      </c>
      <c r="D195" s="6">
        <v>833.15</v>
      </c>
      <c r="E195" s="6">
        <v>1237.7</v>
      </c>
      <c r="F195" s="6">
        <v>63.43</v>
      </c>
      <c r="G195" s="6">
        <v>4805.62</v>
      </c>
      <c r="H195" s="6">
        <v>1239.79</v>
      </c>
      <c r="I195" s="6">
        <v>18229.59</v>
      </c>
      <c r="J195" s="6">
        <v>1350.77</v>
      </c>
      <c r="K195" s="6">
        <v>784.86</v>
      </c>
      <c r="L195" s="6">
        <v>1002.28</v>
      </c>
      <c r="M195" s="6">
        <v>1572.99</v>
      </c>
      <c r="N195" s="6">
        <v>1162.416871274771</v>
      </c>
      <c r="O195" s="7">
        <v>1863.13</v>
      </c>
      <c r="P195" s="6">
        <f>O195/O194*100-100</f>
        <v>-4.8782853758653744</v>
      </c>
    </row>
    <row r="196" spans="2:16" s="8" customFormat="1" ht="34.9" hidden="1" customHeight="1">
      <c r="B196" s="15">
        <v>43435</v>
      </c>
      <c r="C196" s="11">
        <v>1882.7</v>
      </c>
      <c r="D196" s="10">
        <v>795.32</v>
      </c>
      <c r="E196" s="10">
        <v>1206.21</v>
      </c>
      <c r="F196" s="10">
        <v>63.43</v>
      </c>
      <c r="G196" s="10">
        <v>5038.7299999999996</v>
      </c>
      <c r="H196" s="10">
        <v>1315.71</v>
      </c>
      <c r="I196" s="10">
        <v>19161.27</v>
      </c>
      <c r="J196" s="10">
        <v>1360.35</v>
      </c>
      <c r="K196" s="10">
        <v>744.28</v>
      </c>
      <c r="L196" s="10">
        <v>973.74</v>
      </c>
      <c r="M196" s="10">
        <v>1708.29</v>
      </c>
      <c r="N196" s="10">
        <v>1162.416871274771</v>
      </c>
      <c r="O196" s="11">
        <v>1908.81</v>
      </c>
      <c r="P196" s="10">
        <f>O196/O195*100-100</f>
        <v>2.4517881199916332</v>
      </c>
    </row>
    <row r="197" spans="2:16" s="8" customFormat="1" ht="34.9" hidden="1" customHeight="1">
      <c r="B197" s="3">
        <v>2019</v>
      </c>
      <c r="C197" s="93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3"/>
      <c r="P197" s="94"/>
    </row>
    <row r="198" spans="2:16" s="8" customFormat="1" ht="34.9" hidden="1" customHeight="1">
      <c r="B198" s="14">
        <v>43466</v>
      </c>
      <c r="C198" s="7">
        <v>1945.55</v>
      </c>
      <c r="D198" s="6">
        <v>893.33</v>
      </c>
      <c r="E198" s="6">
        <v>1181.52</v>
      </c>
      <c r="F198" s="6">
        <v>63.43</v>
      </c>
      <c r="G198" s="6">
        <v>5540.81</v>
      </c>
      <c r="H198" s="6">
        <v>1306.1500000000001</v>
      </c>
      <c r="I198" s="6">
        <v>20002.68</v>
      </c>
      <c r="J198" s="6">
        <v>1430.4</v>
      </c>
      <c r="K198" s="6">
        <v>645.88</v>
      </c>
      <c r="L198" s="6">
        <v>1049.1600000000001</v>
      </c>
      <c r="M198" s="6">
        <v>1582.57</v>
      </c>
      <c r="N198" s="6">
        <v>1162.416871274771</v>
      </c>
      <c r="O198" s="7">
        <v>1951.62</v>
      </c>
      <c r="P198" s="6">
        <f>O198/O196*100-100</f>
        <v>2.2427585773335181</v>
      </c>
    </row>
    <row r="199" spans="2:16" s="8" customFormat="1" ht="34.9" hidden="1" customHeight="1">
      <c r="B199" s="15">
        <v>43497</v>
      </c>
      <c r="C199" s="11">
        <v>1966.45</v>
      </c>
      <c r="D199" s="10">
        <v>895.59</v>
      </c>
      <c r="E199" s="10">
        <v>1176.32</v>
      </c>
      <c r="F199" s="10">
        <v>56.55</v>
      </c>
      <c r="G199" s="10">
        <v>5540.81</v>
      </c>
      <c r="H199" s="10">
        <v>1290.18</v>
      </c>
      <c r="I199" s="10">
        <v>20567.47</v>
      </c>
      <c r="J199" s="10">
        <v>1424.42</v>
      </c>
      <c r="K199" s="10">
        <v>633.58000000000004</v>
      </c>
      <c r="L199" s="10">
        <v>1003.86</v>
      </c>
      <c r="M199" s="10">
        <v>1617.23</v>
      </c>
      <c r="N199" s="10">
        <v>1162.416871274771</v>
      </c>
      <c r="O199" s="11">
        <v>1992.12</v>
      </c>
      <c r="P199" s="10">
        <f>O199/O198*100-100</f>
        <v>2.0751990653918142</v>
      </c>
    </row>
    <row r="200" spans="2:16" s="8" customFormat="1" ht="34.9" hidden="1" customHeight="1">
      <c r="B200" s="14">
        <v>43525</v>
      </c>
      <c r="C200" s="7">
        <v>1847.15</v>
      </c>
      <c r="D200" s="6">
        <v>909.44</v>
      </c>
      <c r="E200" s="6">
        <v>1198.32</v>
      </c>
      <c r="F200" s="6">
        <v>70.31</v>
      </c>
      <c r="G200" s="6">
        <v>5540.81</v>
      </c>
      <c r="H200" s="6">
        <v>1301.51</v>
      </c>
      <c r="I200" s="6">
        <v>18138.490000000002</v>
      </c>
      <c r="J200" s="6">
        <v>1396.03</v>
      </c>
      <c r="K200" s="6">
        <v>626.04999999999995</v>
      </c>
      <c r="L200" s="6">
        <v>996.77</v>
      </c>
      <c r="M200" s="6">
        <v>1578.63</v>
      </c>
      <c r="N200" s="6">
        <v>1162.416871274771</v>
      </c>
      <c r="O200" s="7">
        <v>1914.28</v>
      </c>
      <c r="P200" s="6">
        <f>O200/O199*100-100</f>
        <v>-3.907395136839142</v>
      </c>
    </row>
    <row r="201" spans="2:16" s="8" customFormat="1" ht="34.9" hidden="1" customHeight="1">
      <c r="B201" s="15">
        <v>43556</v>
      </c>
      <c r="C201" s="11">
        <v>1796.44</v>
      </c>
      <c r="D201" s="10">
        <v>904.37</v>
      </c>
      <c r="E201" s="10">
        <v>1156.99</v>
      </c>
      <c r="F201" s="10">
        <v>62.67</v>
      </c>
      <c r="G201" s="10">
        <v>5540.81</v>
      </c>
      <c r="H201" s="10">
        <v>1314.13</v>
      </c>
      <c r="I201" s="10">
        <v>17688.88</v>
      </c>
      <c r="J201" s="10">
        <v>1351.14</v>
      </c>
      <c r="K201" s="10">
        <v>560.38</v>
      </c>
      <c r="L201" s="10">
        <v>984.72</v>
      </c>
      <c r="M201" s="10">
        <v>1507.36</v>
      </c>
      <c r="N201" s="10">
        <v>1162.416871274771</v>
      </c>
      <c r="O201" s="11">
        <v>1811.45</v>
      </c>
      <c r="P201" s="10">
        <f>O201/O200*100-100</f>
        <v>-5.3717324529326902</v>
      </c>
    </row>
    <row r="202" spans="2:16" s="8" customFormat="1" ht="34.9" hidden="1" customHeight="1">
      <c r="B202" s="14">
        <v>43586</v>
      </c>
      <c r="C202" s="7">
        <v>1791.21</v>
      </c>
      <c r="D202" s="6">
        <v>903</v>
      </c>
      <c r="E202" s="6">
        <v>1173.23</v>
      </c>
      <c r="F202" s="6">
        <v>57.3</v>
      </c>
      <c r="G202" s="6">
        <v>5540.81</v>
      </c>
      <c r="H202" s="6">
        <v>1331.66</v>
      </c>
      <c r="I202" s="6">
        <v>17677.29</v>
      </c>
      <c r="J202" s="6">
        <v>1351.82</v>
      </c>
      <c r="K202" s="6">
        <v>523.03</v>
      </c>
      <c r="L202" s="6">
        <v>968.25</v>
      </c>
      <c r="M202" s="6">
        <v>1443.98</v>
      </c>
      <c r="N202" s="6">
        <v>1162.416871274771</v>
      </c>
      <c r="O202" s="7">
        <v>1806.5</v>
      </c>
      <c r="P202" s="6">
        <f t="shared" ref="P202:P205" si="12">O202/O201*100-100</f>
        <v>-0.27326175163543098</v>
      </c>
    </row>
    <row r="203" spans="2:16" s="8" customFormat="1" ht="34.9" hidden="1" customHeight="1">
      <c r="B203" s="15">
        <v>43617</v>
      </c>
      <c r="C203" s="11">
        <v>1834.16</v>
      </c>
      <c r="D203" s="10">
        <v>872.67</v>
      </c>
      <c r="E203" s="10">
        <v>1198.55</v>
      </c>
      <c r="F203" s="10">
        <v>57.3</v>
      </c>
      <c r="G203" s="10">
        <v>5540.81</v>
      </c>
      <c r="H203" s="10">
        <v>1351.14</v>
      </c>
      <c r="I203" s="10">
        <v>18121.11</v>
      </c>
      <c r="J203" s="10">
        <v>1393.91</v>
      </c>
      <c r="K203" s="10">
        <v>538.78</v>
      </c>
      <c r="L203" s="10">
        <v>1060.22</v>
      </c>
      <c r="M203" s="10">
        <v>1476.62</v>
      </c>
      <c r="N203" s="10">
        <v>1162.416871274771</v>
      </c>
      <c r="O203" s="11">
        <v>1880.11</v>
      </c>
      <c r="P203" s="10">
        <f t="shared" si="12"/>
        <v>4.0747301411569339</v>
      </c>
    </row>
    <row r="204" spans="2:16" s="8" customFormat="1" ht="34.9" hidden="1" customHeight="1">
      <c r="B204" s="14">
        <v>43647</v>
      </c>
      <c r="C204" s="7">
        <v>1857.35</v>
      </c>
      <c r="D204" s="6">
        <v>823.4</v>
      </c>
      <c r="E204" s="6">
        <v>1217.18</v>
      </c>
      <c r="F204" s="6">
        <v>57.3</v>
      </c>
      <c r="G204" s="6">
        <v>5540.81</v>
      </c>
      <c r="H204" s="6">
        <v>1377.82</v>
      </c>
      <c r="I204" s="6">
        <v>17472.77</v>
      </c>
      <c r="J204" s="6">
        <v>1525.63</v>
      </c>
      <c r="K204" s="6">
        <v>532.96</v>
      </c>
      <c r="L204" s="6">
        <v>1030.3800000000001</v>
      </c>
      <c r="M204" s="6">
        <v>1458.79</v>
      </c>
      <c r="N204" s="6">
        <v>1162.416871274771</v>
      </c>
      <c r="O204" s="7">
        <v>1873.46</v>
      </c>
      <c r="P204" s="6">
        <f t="shared" si="12"/>
        <v>-0.35370270888405742</v>
      </c>
    </row>
    <row r="205" spans="2:16" s="8" customFormat="1" ht="34.9" hidden="1" customHeight="1">
      <c r="B205" s="15">
        <v>43678</v>
      </c>
      <c r="C205" s="11">
        <v>1786.89</v>
      </c>
      <c r="D205" s="10">
        <v>820.29</v>
      </c>
      <c r="E205" s="10">
        <v>1226.18</v>
      </c>
      <c r="F205" s="10">
        <v>57.3</v>
      </c>
      <c r="G205" s="10">
        <v>5540.81</v>
      </c>
      <c r="H205" s="10">
        <v>1388.77</v>
      </c>
      <c r="I205" s="10">
        <v>16951.12</v>
      </c>
      <c r="J205" s="10">
        <v>1411.67</v>
      </c>
      <c r="K205" s="10">
        <v>522.5</v>
      </c>
      <c r="L205" s="10">
        <v>954.29</v>
      </c>
      <c r="M205" s="10">
        <v>1465.71</v>
      </c>
      <c r="N205" s="10">
        <v>1162.416871274771</v>
      </c>
      <c r="O205" s="11">
        <v>1821.11</v>
      </c>
      <c r="P205" s="10">
        <f t="shared" si="12"/>
        <v>-2.7942950476658126</v>
      </c>
    </row>
    <row r="206" spans="2:16" s="8" customFormat="1" ht="34.9" hidden="1" customHeight="1">
      <c r="B206" s="14">
        <v>43709</v>
      </c>
      <c r="C206" s="7">
        <v>1826.69</v>
      </c>
      <c r="D206" s="6">
        <v>814.02</v>
      </c>
      <c r="E206" s="6">
        <v>1233.97</v>
      </c>
      <c r="F206" s="6">
        <v>57.3</v>
      </c>
      <c r="G206" s="6">
        <v>5540.81</v>
      </c>
      <c r="H206" s="6">
        <v>1404.38</v>
      </c>
      <c r="I206" s="6">
        <v>17683.09</v>
      </c>
      <c r="J206" s="6">
        <v>1441.84</v>
      </c>
      <c r="K206" s="6">
        <v>498.09</v>
      </c>
      <c r="L206" s="6">
        <v>982.29</v>
      </c>
      <c r="M206" s="6">
        <v>1473.63</v>
      </c>
      <c r="N206" s="6">
        <v>1162.416871274771</v>
      </c>
      <c r="O206" s="7">
        <v>1827.74</v>
      </c>
      <c r="P206" s="6">
        <f>O206/O205*100-100</f>
        <v>0.36406367545069429</v>
      </c>
    </row>
    <row r="207" spans="2:16" s="8" customFormat="1" ht="34.9" hidden="1" customHeight="1">
      <c r="B207" s="15">
        <v>43739</v>
      </c>
      <c r="C207" s="11">
        <v>1814.63</v>
      </c>
      <c r="D207" s="10">
        <v>901.35</v>
      </c>
      <c r="E207" s="10">
        <v>1237</v>
      </c>
      <c r="F207" s="10">
        <v>57.3</v>
      </c>
      <c r="G207" s="10">
        <v>5540.81</v>
      </c>
      <c r="H207" s="10">
        <v>1417.16</v>
      </c>
      <c r="I207" s="10">
        <v>17377.95</v>
      </c>
      <c r="J207" s="10">
        <v>1411.47</v>
      </c>
      <c r="K207" s="10">
        <v>470.82</v>
      </c>
      <c r="L207" s="10">
        <v>1017.54</v>
      </c>
      <c r="M207" s="10">
        <v>1546.83</v>
      </c>
      <c r="N207" s="10">
        <v>1162.416871274771</v>
      </c>
      <c r="O207" s="11">
        <v>1800.29</v>
      </c>
      <c r="P207" s="10">
        <f>O207/O206*100-100</f>
        <v>-1.5018547495814545</v>
      </c>
    </row>
    <row r="208" spans="2:16" s="8" customFormat="1" ht="34.9" hidden="1" customHeight="1">
      <c r="B208" s="14">
        <v>43770</v>
      </c>
      <c r="C208" s="7">
        <v>1813.04</v>
      </c>
      <c r="D208" s="6">
        <v>894.84</v>
      </c>
      <c r="E208" s="6">
        <v>1204.53</v>
      </c>
      <c r="F208" s="6">
        <v>57.3</v>
      </c>
      <c r="G208" s="6">
        <v>5540.81</v>
      </c>
      <c r="H208" s="6">
        <v>1424.62</v>
      </c>
      <c r="I208" s="6">
        <v>17403.79</v>
      </c>
      <c r="J208" s="6">
        <v>1420.89</v>
      </c>
      <c r="K208" s="6">
        <v>452.35</v>
      </c>
      <c r="L208" s="6">
        <v>1013.41</v>
      </c>
      <c r="M208" s="6">
        <v>1538.13</v>
      </c>
      <c r="N208" s="6">
        <v>1162.416871274771</v>
      </c>
      <c r="O208" s="7">
        <v>1795.21</v>
      </c>
      <c r="P208" s="6">
        <f>O208/O207*100-100</f>
        <v>-0.28217676041082029</v>
      </c>
    </row>
    <row r="209" spans="2:16" s="8" customFormat="1" ht="34.9" hidden="1" customHeight="1">
      <c r="B209" s="15">
        <v>43800</v>
      </c>
      <c r="C209" s="11">
        <v>1856.97</v>
      </c>
      <c r="D209" s="10">
        <v>853.56</v>
      </c>
      <c r="E209" s="10">
        <v>1199.4000000000001</v>
      </c>
      <c r="F209" s="10">
        <v>57.3</v>
      </c>
      <c r="G209" s="10">
        <v>5540.81</v>
      </c>
      <c r="H209" s="10">
        <v>1589.93</v>
      </c>
      <c r="I209" s="10">
        <v>18118.21</v>
      </c>
      <c r="J209" s="10">
        <v>1446.62</v>
      </c>
      <c r="K209" s="10">
        <v>455.47</v>
      </c>
      <c r="L209" s="10">
        <v>952.58</v>
      </c>
      <c r="M209" s="10">
        <v>1497.7</v>
      </c>
      <c r="N209" s="10">
        <v>1162.416871274771</v>
      </c>
      <c r="O209" s="11">
        <v>1815.2</v>
      </c>
      <c r="P209" s="10">
        <f>O209/O208*100-100</f>
        <v>1.1135187526807471</v>
      </c>
    </row>
    <row r="210" spans="2:16" s="8" customFormat="1" ht="34.9" hidden="1" customHeight="1">
      <c r="B210" s="3">
        <v>2020</v>
      </c>
      <c r="C210" s="93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3"/>
      <c r="P210" s="94"/>
    </row>
    <row r="211" spans="2:16" s="8" customFormat="1" ht="34.9" hidden="1" customHeight="1">
      <c r="B211" s="14">
        <v>43831</v>
      </c>
      <c r="C211" s="7">
        <v>1922.6767958563046</v>
      </c>
      <c r="D211" s="6">
        <v>907.61843259443026</v>
      </c>
      <c r="E211" s="6">
        <v>1213.7224868525477</v>
      </c>
      <c r="F211" s="6">
        <v>57.318788012847058</v>
      </c>
      <c r="G211" s="6">
        <v>5540.8079584620973</v>
      </c>
      <c r="H211" s="6">
        <v>1599.8286489025888</v>
      </c>
      <c r="I211" s="6">
        <v>19184.285253697006</v>
      </c>
      <c r="J211" s="6">
        <v>1467.1355520290581</v>
      </c>
      <c r="K211" s="6">
        <v>448.01901963889128</v>
      </c>
      <c r="L211" s="6">
        <v>979.44507683046197</v>
      </c>
      <c r="M211" s="6">
        <v>1602.0875429729963</v>
      </c>
      <c r="N211" s="6">
        <v>1162.416871274771</v>
      </c>
      <c r="O211" s="7">
        <v>1867.9040107684455</v>
      </c>
      <c r="P211" s="6">
        <f>O211/O209*100-100</f>
        <v>2.903482303241816</v>
      </c>
    </row>
    <row r="212" spans="2:16" s="8" customFormat="1" ht="34.9" hidden="1" customHeight="1">
      <c r="B212" s="15">
        <v>43862</v>
      </c>
      <c r="C212" s="11">
        <v>1901.4567846326838</v>
      </c>
      <c r="D212" s="10">
        <v>845.80790480375958</v>
      </c>
      <c r="E212" s="10">
        <v>1194.3253343857862</v>
      </c>
      <c r="F212" s="10">
        <v>57.318788012847058</v>
      </c>
      <c r="G212" s="10">
        <v>5540.8079584620973</v>
      </c>
      <c r="H212" s="10">
        <v>1559.7701397659989</v>
      </c>
      <c r="I212" s="10">
        <v>19714.626398227396</v>
      </c>
      <c r="J212" s="10">
        <v>1400.6125947706516</v>
      </c>
      <c r="K212" s="10">
        <v>439.93008973376686</v>
      </c>
      <c r="L212" s="10">
        <v>973.23135263054075</v>
      </c>
      <c r="M212" s="10">
        <v>1581.4149446751082</v>
      </c>
      <c r="N212" s="10">
        <v>1162.416871274771</v>
      </c>
      <c r="O212" s="11">
        <v>1835.9196572763547</v>
      </c>
      <c r="P212" s="10">
        <f>O212/O211*100-100</f>
        <v>-1.7123124800686469</v>
      </c>
    </row>
    <row r="213" spans="2:16" s="8" customFormat="1" ht="34.9" hidden="1" customHeight="1">
      <c r="B213" s="14" t="s">
        <v>129</v>
      </c>
      <c r="C213" s="7">
        <v>1859.4632821141061</v>
      </c>
      <c r="D213" s="6">
        <v>813.20122278449003</v>
      </c>
      <c r="E213" s="6">
        <v>1186.3202603659681</v>
      </c>
      <c r="F213" s="6">
        <v>57.318788012847058</v>
      </c>
      <c r="G213" s="6">
        <v>5540.8079584620973</v>
      </c>
      <c r="H213" s="6">
        <v>1555.9918246647851</v>
      </c>
      <c r="I213" s="6">
        <v>20109.344066234276</v>
      </c>
      <c r="J213" s="6">
        <v>1283.5211366409692</v>
      </c>
      <c r="K213" s="6">
        <v>432.55375287587634</v>
      </c>
      <c r="L213" s="6">
        <v>942.86585928730119</v>
      </c>
      <c r="M213" s="6">
        <v>1530.2050454877642</v>
      </c>
      <c r="N213" s="6">
        <v>1162.416871274771</v>
      </c>
      <c r="O213" s="7">
        <v>1668.1809691685135</v>
      </c>
      <c r="P213" s="6">
        <f>O213/O212*100-100</f>
        <v>-9.1364939333285946</v>
      </c>
    </row>
    <row r="214" spans="2:16" s="8" customFormat="1" ht="34.9" hidden="1" customHeight="1">
      <c r="B214" s="15">
        <v>43952</v>
      </c>
      <c r="C214" s="11">
        <v>1825.06</v>
      </c>
      <c r="D214" s="10">
        <v>779.61</v>
      </c>
      <c r="E214" s="10">
        <v>1220.3800000000001</v>
      </c>
      <c r="F214" s="10">
        <v>57.318788012847058</v>
      </c>
      <c r="G214" s="10">
        <v>5540.8079584620973</v>
      </c>
      <c r="H214" s="10">
        <v>1581.64</v>
      </c>
      <c r="I214" s="10">
        <v>19256.32</v>
      </c>
      <c r="J214" s="10">
        <v>1285.69</v>
      </c>
      <c r="K214" s="10">
        <v>426.21</v>
      </c>
      <c r="L214" s="10">
        <v>943.21</v>
      </c>
      <c r="M214" s="10">
        <v>1522.92</v>
      </c>
      <c r="N214" s="10">
        <v>1162.416871274771</v>
      </c>
      <c r="O214" s="11">
        <v>1643.31</v>
      </c>
      <c r="P214" s="10">
        <f>O214/O213*100-100</f>
        <v>-1.4909035427319424</v>
      </c>
    </row>
    <row r="215" spans="2:16" s="8" customFormat="1" ht="34.9" hidden="1" customHeight="1">
      <c r="B215" s="14">
        <v>43983</v>
      </c>
      <c r="C215" s="7">
        <v>1791.07</v>
      </c>
      <c r="D215" s="6">
        <v>827.69</v>
      </c>
      <c r="E215" s="6">
        <v>1196.45</v>
      </c>
      <c r="F215" s="6">
        <v>57.318788012847058</v>
      </c>
      <c r="G215" s="6">
        <v>5540.8079584620973</v>
      </c>
      <c r="H215" s="6">
        <v>1584.37</v>
      </c>
      <c r="I215" s="6">
        <v>19233.14</v>
      </c>
      <c r="J215" s="6">
        <v>1210.49</v>
      </c>
      <c r="K215" s="6">
        <v>425.34</v>
      </c>
      <c r="L215" s="6">
        <v>881.07</v>
      </c>
      <c r="M215" s="6">
        <v>1443.76</v>
      </c>
      <c r="N215" s="6">
        <v>1162.416871274771</v>
      </c>
      <c r="O215" s="7">
        <v>1603.04</v>
      </c>
      <c r="P215" s="6">
        <f t="shared" ref="P215:P218" si="13">O215/O214*100-100</f>
        <v>-2.4505418941039778</v>
      </c>
    </row>
    <row r="216" spans="2:16" s="8" customFormat="1" ht="34.9" hidden="1" customHeight="1">
      <c r="B216" s="15">
        <v>44013</v>
      </c>
      <c r="C216" s="11">
        <v>1801.8792494094919</v>
      </c>
      <c r="D216" s="10">
        <v>826.56636150318843</v>
      </c>
      <c r="E216" s="10">
        <v>1292.9770164997831</v>
      </c>
      <c r="F216" s="10">
        <v>57.318788012847058</v>
      </c>
      <c r="G216" s="10">
        <v>5540.8079584620973</v>
      </c>
      <c r="H216" s="10">
        <v>1563.6907431274292</v>
      </c>
      <c r="I216" s="10">
        <v>19273.708262738812</v>
      </c>
      <c r="J216" s="10">
        <v>1229.0681501376121</v>
      </c>
      <c r="K216" s="10">
        <v>427.45034334394643</v>
      </c>
      <c r="L216" s="10">
        <v>900.25785972928054</v>
      </c>
      <c r="M216" s="10">
        <v>1352.6252398045942</v>
      </c>
      <c r="N216" s="10">
        <v>1162.416871274771</v>
      </c>
      <c r="O216" s="11">
        <v>1581.8168777167455</v>
      </c>
      <c r="P216" s="10">
        <f t="shared" si="13"/>
        <v>-1.3239296763184001</v>
      </c>
    </row>
    <row r="217" spans="2:16" s="8" customFormat="1" ht="34.9" hidden="1" customHeight="1">
      <c r="B217" s="14">
        <v>44044</v>
      </c>
      <c r="C217" s="7">
        <v>1817.3738709750996</v>
      </c>
      <c r="D217" s="6">
        <v>831.78711881518018</v>
      </c>
      <c r="E217" s="6">
        <v>1280.8032132294213</v>
      </c>
      <c r="F217" s="6">
        <v>57.318788012847058</v>
      </c>
      <c r="G217" s="6">
        <v>5540.8079584620973</v>
      </c>
      <c r="H217" s="6">
        <v>1559.8629261014457</v>
      </c>
      <c r="I217" s="6">
        <v>19250.527676372203</v>
      </c>
      <c r="J217" s="6">
        <v>1257.7083497188271</v>
      </c>
      <c r="K217" s="6">
        <v>467.6576652702413</v>
      </c>
      <c r="L217" s="6">
        <v>934.91460136107173</v>
      </c>
      <c r="M217" s="6">
        <v>1296.2055773956326</v>
      </c>
      <c r="N217" s="6">
        <v>1162.416871274771</v>
      </c>
      <c r="O217" s="7">
        <v>1573.6614998393072</v>
      </c>
      <c r="P217" s="6">
        <f t="shared" si="13"/>
        <v>-0.51557029086767159</v>
      </c>
    </row>
    <row r="218" spans="2:16" s="8" customFormat="1" ht="34.9" hidden="1" customHeight="1">
      <c r="B218" s="15">
        <v>44075</v>
      </c>
      <c r="C218" s="11">
        <v>1859.6719732340152</v>
      </c>
      <c r="D218" s="10">
        <v>911.89763178411226</v>
      </c>
      <c r="E218" s="10">
        <v>1359.859144057752</v>
      </c>
      <c r="F218" s="10">
        <v>57.318788012847058</v>
      </c>
      <c r="G218" s="10">
        <v>5540.8079584620973</v>
      </c>
      <c r="H218" s="10">
        <v>1640.0280960909074</v>
      </c>
      <c r="I218" s="10">
        <v>19236.039809893071</v>
      </c>
      <c r="J218" s="10">
        <v>1289.7556828583145</v>
      </c>
      <c r="K218" s="10">
        <v>479.9082559063329</v>
      </c>
      <c r="L218" s="10">
        <v>1052.7792004100047</v>
      </c>
      <c r="M218" s="10">
        <v>1309.2254994900084</v>
      </c>
      <c r="N218" s="10">
        <v>1162.416871274771</v>
      </c>
      <c r="O218" s="11">
        <v>1587.7511705080378</v>
      </c>
      <c r="P218" s="10">
        <f t="shared" si="13"/>
        <v>0.8953431643443821</v>
      </c>
    </row>
    <row r="219" spans="2:16" s="8" customFormat="1" ht="34.9" hidden="1" customHeight="1">
      <c r="B219" s="14">
        <v>44105</v>
      </c>
      <c r="C219" s="7">
        <v>1893.222264849049</v>
      </c>
      <c r="D219" s="6">
        <v>907.14272666303668</v>
      </c>
      <c r="E219" s="6">
        <v>1418.4776812729942</v>
      </c>
      <c r="F219" s="6">
        <v>57.318788012847058</v>
      </c>
      <c r="G219" s="6">
        <v>5540.8079584620973</v>
      </c>
      <c r="H219" s="6">
        <v>1721.8145022429803</v>
      </c>
      <c r="I219" s="6">
        <v>20313.258039247117</v>
      </c>
      <c r="J219" s="6">
        <v>1326.4859175451127</v>
      </c>
      <c r="K219" s="6">
        <v>465.89845506180319</v>
      </c>
      <c r="L219" s="6">
        <v>1069.3326633229626</v>
      </c>
      <c r="M219" s="6">
        <v>1226.7659928922951</v>
      </c>
      <c r="N219" s="6">
        <v>1162.416871274771</v>
      </c>
      <c r="O219" s="7">
        <v>1551.3682790338919</v>
      </c>
      <c r="P219" s="6">
        <f>O219/O218*100-100</f>
        <v>-2.2914731319331594</v>
      </c>
    </row>
    <row r="220" spans="2:16" s="8" customFormat="1" ht="34.9" hidden="1" customHeight="1">
      <c r="B220" s="15">
        <v>44136</v>
      </c>
      <c r="C220" s="11">
        <v>1973.3108743241023</v>
      </c>
      <c r="D220" s="10">
        <v>979.63896589078706</v>
      </c>
      <c r="E220" s="10">
        <v>1500.5200498924526</v>
      </c>
      <c r="F220" s="10">
        <v>57.318788012847058</v>
      </c>
      <c r="G220" s="10">
        <v>5540.8079584620973</v>
      </c>
      <c r="H220" s="10">
        <v>1728.8273210592299</v>
      </c>
      <c r="I220" s="10">
        <v>21236.587950121851</v>
      </c>
      <c r="J220" s="10">
        <v>1392.1876690100976</v>
      </c>
      <c r="K220" s="10">
        <v>461.01437147834378</v>
      </c>
      <c r="L220" s="10">
        <v>1044.8338387954152</v>
      </c>
      <c r="M220" s="10">
        <v>1309.2254994900084</v>
      </c>
      <c r="N220" s="10">
        <v>1162.416871274771</v>
      </c>
      <c r="O220" s="11">
        <v>1573.4567397082044</v>
      </c>
      <c r="P220" s="10">
        <f>O220/O219*100-100</f>
        <v>1.4238050998482521</v>
      </c>
    </row>
    <row r="221" spans="2:16" s="8" customFormat="1" ht="34.9" hidden="1" customHeight="1">
      <c r="B221" s="14">
        <v>44166</v>
      </c>
      <c r="C221" s="7">
        <v>2119.7158519837726</v>
      </c>
      <c r="D221" s="6">
        <v>960.11578510052823</v>
      </c>
      <c r="E221" s="6">
        <v>1516.2704136094121</v>
      </c>
      <c r="F221" s="6">
        <v>57.318788012847058</v>
      </c>
      <c r="G221" s="6">
        <v>5540.8079584620973</v>
      </c>
      <c r="H221" s="6">
        <v>1746.711149231325</v>
      </c>
      <c r="I221" s="6">
        <v>25391.572549058819</v>
      </c>
      <c r="J221" s="6">
        <v>1585.3500820883316</v>
      </c>
      <c r="K221" s="6">
        <v>463.28745939548315</v>
      </c>
      <c r="L221" s="6">
        <v>1069.3326633229626</v>
      </c>
      <c r="M221" s="6">
        <v>1330.9253696473013</v>
      </c>
      <c r="N221" s="6">
        <v>1162.416871274771</v>
      </c>
      <c r="O221" s="7">
        <v>1657.2222955369268</v>
      </c>
      <c r="P221" s="6">
        <f>O221/O220*100-100</f>
        <v>5.3236643699690518</v>
      </c>
    </row>
    <row r="222" spans="2:16" s="8" customFormat="1" ht="34.9" hidden="1" customHeight="1">
      <c r="B222" s="3">
        <v>2021</v>
      </c>
      <c r="C222" s="93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3"/>
      <c r="P222" s="94"/>
    </row>
    <row r="223" spans="2:16" s="8" customFormat="1" ht="34.9" hidden="1" customHeight="1">
      <c r="B223" s="14">
        <v>44197</v>
      </c>
      <c r="C223" s="7">
        <v>2260.8523012875835</v>
      </c>
      <c r="D223" s="6">
        <v>990.23564464614435</v>
      </c>
      <c r="E223" s="6">
        <v>1665.8018856962628</v>
      </c>
      <c r="F223" s="6">
        <v>57.318788012847058</v>
      </c>
      <c r="G223" s="6">
        <v>5540.8079584620973</v>
      </c>
      <c r="H223" s="6">
        <v>1778.5547575657581</v>
      </c>
      <c r="I223" s="6">
        <v>29546.557147995711</v>
      </c>
      <c r="J223" s="6">
        <v>1701.3203025832379</v>
      </c>
      <c r="K223" s="6">
        <v>512.09458695818648</v>
      </c>
      <c r="L223" s="6">
        <v>1231.9577217602541</v>
      </c>
      <c r="M223" s="6">
        <v>1296.9289064008758</v>
      </c>
      <c r="N223" s="6">
        <v>1162.416871274771</v>
      </c>
      <c r="O223" s="7">
        <v>1726.8214900372761</v>
      </c>
      <c r="P223" s="6">
        <f>O223/O221*100-100</f>
        <v>4.1997500690032439</v>
      </c>
    </row>
    <row r="224" spans="2:16" s="8" customFormat="1" ht="34.9" hidden="1" customHeight="1">
      <c r="B224" s="15">
        <v>44228</v>
      </c>
      <c r="C224" s="11">
        <v>2488.3007244814207</v>
      </c>
      <c r="D224" s="10">
        <v>990.99276981522223</v>
      </c>
      <c r="E224" s="10">
        <v>1758.9771436034339</v>
      </c>
      <c r="F224" s="10">
        <v>57.318788012847058</v>
      </c>
      <c r="G224" s="10">
        <v>5540.8079584620973</v>
      </c>
      <c r="H224" s="10">
        <v>1796.9314256823902</v>
      </c>
      <c r="I224" s="10">
        <v>26007.125822975391</v>
      </c>
      <c r="J224" s="10">
        <v>2013.715310918275</v>
      </c>
      <c r="K224" s="10">
        <v>479.93702511397623</v>
      </c>
      <c r="L224" s="10">
        <v>1156.3497412315603</v>
      </c>
      <c r="M224" s="10">
        <v>1327.6703891237073</v>
      </c>
      <c r="N224" s="10">
        <v>1162.416871274771</v>
      </c>
      <c r="O224" s="11">
        <v>1761.3570528193306</v>
      </c>
      <c r="P224" s="10">
        <f>O224/O223*100-100</f>
        <v>1.9999497910643242</v>
      </c>
    </row>
    <row r="225" spans="2:16" s="8" customFormat="1" ht="34.9" hidden="1" customHeight="1">
      <c r="B225" s="14">
        <v>44256</v>
      </c>
      <c r="C225" s="7">
        <v>2733.1258238212499</v>
      </c>
      <c r="D225" s="6">
        <v>1034.4267358163809</v>
      </c>
      <c r="E225" s="6">
        <v>1707.3368938973092</v>
      </c>
      <c r="F225" s="6">
        <v>57.318788012847058</v>
      </c>
      <c r="G225" s="6">
        <v>5540.8079584620973</v>
      </c>
      <c r="H225" s="6">
        <v>1836.9158627377747</v>
      </c>
      <c r="I225" s="6">
        <v>23852.689364267375</v>
      </c>
      <c r="J225" s="6">
        <v>2362.3512925631198</v>
      </c>
      <c r="K225" s="6">
        <v>473.21437083085823</v>
      </c>
      <c r="L225" s="6">
        <v>1133.5315464717537</v>
      </c>
      <c r="M225" s="6">
        <v>1260.4007916360993</v>
      </c>
      <c r="N225" s="6">
        <v>1162.416871274771</v>
      </c>
      <c r="O225" s="7">
        <v>1772.2579498398638</v>
      </c>
      <c r="P225" s="6">
        <f>O225/O224*100-100</f>
        <v>0.61889195056077995</v>
      </c>
    </row>
    <row r="226" spans="2:16" s="8" customFormat="1" ht="34.9" hidden="1" customHeight="1">
      <c r="B226" s="15">
        <v>44287</v>
      </c>
      <c r="C226" s="11">
        <v>2785.108721625922</v>
      </c>
      <c r="D226" s="10">
        <v>1064.2162426900743</v>
      </c>
      <c r="E226" s="10">
        <v>1713.9660300656326</v>
      </c>
      <c r="F226" s="10">
        <v>57.318788012847058</v>
      </c>
      <c r="G226" s="10">
        <v>5540.8079584620973</v>
      </c>
      <c r="H226" s="10">
        <v>1948.0224415361804</v>
      </c>
      <c r="I226" s="10">
        <v>17543.268306622453</v>
      </c>
      <c r="J226" s="10">
        <v>2398.7054150264507</v>
      </c>
      <c r="K226" s="10">
        <v>483.42187031278331</v>
      </c>
      <c r="L226" s="10">
        <v>1355.5390194508295</v>
      </c>
      <c r="M226" s="10">
        <v>1271.9740557199889</v>
      </c>
      <c r="N226" s="10">
        <v>1162.416871274771</v>
      </c>
      <c r="O226" s="11">
        <v>1795.3483605538761</v>
      </c>
      <c r="P226" s="10">
        <f>O226/O225*100-100</f>
        <v>1.3028809218262154</v>
      </c>
    </row>
    <row r="227" spans="2:16" s="8" customFormat="1" ht="34.9" hidden="1" customHeight="1">
      <c r="B227" s="14">
        <v>44317</v>
      </c>
      <c r="C227" s="7">
        <v>3321.9425121128743</v>
      </c>
      <c r="D227" s="6">
        <v>1274.3455261111887</v>
      </c>
      <c r="E227" s="6">
        <v>1664.7901385931582</v>
      </c>
      <c r="F227" s="6">
        <v>57.318788012847058</v>
      </c>
      <c r="G227" s="6">
        <v>5540.8079584620973</v>
      </c>
      <c r="H227" s="6">
        <v>1919.1046969571801</v>
      </c>
      <c r="I227" s="6">
        <v>18466.598217497321</v>
      </c>
      <c r="J227" s="6">
        <v>3057.3290141272846</v>
      </c>
      <c r="K227" s="6">
        <v>505.66223684852417</v>
      </c>
      <c r="L227" s="6">
        <v>1569.6059607737973</v>
      </c>
      <c r="M227" s="6">
        <v>1218.9751367316558</v>
      </c>
      <c r="N227" s="6">
        <v>1162.416871274771</v>
      </c>
      <c r="O227" s="7">
        <v>2052.8907733929691</v>
      </c>
      <c r="P227" s="6">
        <f t="shared" ref="P227:P230" si="14">O227/O226*100-100</f>
        <v>14.344982761988305</v>
      </c>
    </row>
    <row r="228" spans="2:16" s="8" customFormat="1" ht="34.9" hidden="1" customHeight="1">
      <c r="B228" s="15">
        <v>44348</v>
      </c>
      <c r="C228" s="11">
        <v>3728.7316309765229</v>
      </c>
      <c r="D228" s="10">
        <v>1208.0350240817249</v>
      </c>
      <c r="E228" s="10">
        <v>1691.734895225831</v>
      </c>
      <c r="F228" s="10">
        <v>57.318788012847058</v>
      </c>
      <c r="G228" s="10">
        <v>5540.8079584620973</v>
      </c>
      <c r="H228" s="10">
        <v>1926.1126152958461</v>
      </c>
      <c r="I228" s="10">
        <v>16466.050077268446</v>
      </c>
      <c r="J228" s="10">
        <v>3637.1977596490956</v>
      </c>
      <c r="K228" s="10">
        <v>588.34002492652928</v>
      </c>
      <c r="L228" s="10">
        <v>1315.1740243637248</v>
      </c>
      <c r="M228" s="10">
        <v>1271.9740557199889</v>
      </c>
      <c r="N228" s="10">
        <v>1162.416871274771</v>
      </c>
      <c r="O228" s="11">
        <v>2098.803629124553</v>
      </c>
      <c r="P228" s="10">
        <f t="shared" si="14"/>
        <v>2.2364977390248839</v>
      </c>
    </row>
    <row r="229" spans="2:16" s="8" customFormat="1" ht="34.9" hidden="1" customHeight="1">
      <c r="B229" s="14">
        <v>44378</v>
      </c>
      <c r="C229" s="7">
        <v>3824.2093617420869</v>
      </c>
      <c r="D229" s="6">
        <v>1278.811815161836</v>
      </c>
      <c r="E229" s="6">
        <v>1769.7552681116247</v>
      </c>
      <c r="F229" s="6">
        <v>57.318788012847058</v>
      </c>
      <c r="G229" s="6">
        <v>5540.8079584620973</v>
      </c>
      <c r="H229" s="6">
        <v>1933.0128698100125</v>
      </c>
      <c r="I229" s="6">
        <v>16773.826714226732</v>
      </c>
      <c r="J229" s="6">
        <v>3722.4272488334705</v>
      </c>
      <c r="K229" s="6">
        <v>571.08891517596749</v>
      </c>
      <c r="L229" s="6">
        <v>1331.055087675941</v>
      </c>
      <c r="M229" s="6">
        <v>1354.4168185907286</v>
      </c>
      <c r="N229" s="6">
        <v>1162.416871274771</v>
      </c>
      <c r="O229" s="7">
        <v>2087.5563580542425</v>
      </c>
      <c r="P229" s="6">
        <f t="shared" si="14"/>
        <v>-0.53588963322890493</v>
      </c>
    </row>
    <row r="230" spans="2:16" s="8" customFormat="1" ht="34.9" hidden="1" customHeight="1">
      <c r="B230" s="15">
        <v>44409</v>
      </c>
      <c r="C230" s="11">
        <v>3645.6785445526498</v>
      </c>
      <c r="D230" s="10">
        <v>1210.1720044887331</v>
      </c>
      <c r="E230" s="10">
        <v>1675.151348437601</v>
      </c>
      <c r="F230" s="10">
        <v>57.318788012847058</v>
      </c>
      <c r="G230" s="10">
        <v>5540.8079584620973</v>
      </c>
      <c r="H230" s="10">
        <v>1914.6856990889589</v>
      </c>
      <c r="I230" s="10">
        <v>16312.161758789302</v>
      </c>
      <c r="J230" s="10">
        <v>3535.6831993768606</v>
      </c>
      <c r="K230" s="10">
        <v>551.94506306749111</v>
      </c>
      <c r="L230" s="10">
        <v>1242.3845658456232</v>
      </c>
      <c r="M230" s="10">
        <v>1319.0842059318402</v>
      </c>
      <c r="N230" s="10">
        <v>1162.416871274771</v>
      </c>
      <c r="O230" s="11">
        <v>2061.7466114140534</v>
      </c>
      <c r="P230" s="10">
        <f t="shared" si="14"/>
        <v>-1.2363616694998143</v>
      </c>
    </row>
    <row r="231" spans="2:16" s="8" customFormat="1" ht="34.9" hidden="1" customHeight="1">
      <c r="B231" s="14">
        <v>44440</v>
      </c>
      <c r="C231" s="7">
        <v>3695.1690534526911</v>
      </c>
      <c r="D231" s="6">
        <v>1125.8467576281903</v>
      </c>
      <c r="E231" s="6">
        <v>1734.9659362387595</v>
      </c>
      <c r="F231" s="6">
        <v>57.318788012847058</v>
      </c>
      <c r="G231" s="6">
        <v>5540.8079584620973</v>
      </c>
      <c r="H231" s="6">
        <v>2011.3449496432031</v>
      </c>
      <c r="I231" s="6">
        <v>18158.821580539028</v>
      </c>
      <c r="J231" s="6">
        <v>3599.3080490418765</v>
      </c>
      <c r="K231" s="6">
        <v>545.906991656218</v>
      </c>
      <c r="L231" s="6">
        <v>1254.6265317330674</v>
      </c>
      <c r="M231" s="6">
        <v>1289.640362049433</v>
      </c>
      <c r="N231" s="6">
        <v>1162.416871274771</v>
      </c>
      <c r="O231" s="7">
        <v>2073.0567123969226</v>
      </c>
      <c r="P231" s="6">
        <f>O231/O230*100-100</f>
        <v>0.54856891337932723</v>
      </c>
    </row>
    <row r="232" spans="2:16" s="8" customFormat="1" ht="34.9" hidden="1" customHeight="1">
      <c r="B232" s="15">
        <v>44470</v>
      </c>
      <c r="C232" s="11">
        <v>3697.2131114905451</v>
      </c>
      <c r="D232" s="10">
        <v>1128.2001992901025</v>
      </c>
      <c r="E232" s="10">
        <v>1780.0339864558416</v>
      </c>
      <c r="F232" s="10">
        <v>57.318788012847058</v>
      </c>
      <c r="G232" s="10">
        <v>5540.8079584620973</v>
      </c>
      <c r="H232" s="10">
        <v>1940.5813169364487</v>
      </c>
      <c r="I232" s="10">
        <v>17235.491669664163</v>
      </c>
      <c r="J232" s="10">
        <v>3605.0334324109626</v>
      </c>
      <c r="K232" s="10">
        <v>607.08196164040839</v>
      </c>
      <c r="L232" s="10">
        <v>1189.7776048710743</v>
      </c>
      <c r="M232" s="10">
        <v>1289.640362049433</v>
      </c>
      <c r="N232" s="10">
        <v>1162.416871274771</v>
      </c>
      <c r="O232" s="11">
        <v>2120.85599945279</v>
      </c>
      <c r="P232" s="10">
        <f>O232/O231*100-100</f>
        <v>2.3057394797752835</v>
      </c>
    </row>
    <row r="233" spans="2:16" s="8" customFormat="1" ht="34.9" hidden="1" customHeight="1">
      <c r="B233" s="14">
        <v>44501</v>
      </c>
      <c r="C233" s="7">
        <v>3601.889576450716</v>
      </c>
      <c r="D233" s="6">
        <v>1081.1313660518563</v>
      </c>
      <c r="E233" s="6">
        <v>1762.1620265792019</v>
      </c>
      <c r="F233" s="6">
        <v>57.318788012847058</v>
      </c>
      <c r="G233" s="6">
        <v>5540.8079584620973</v>
      </c>
      <c r="H233" s="6">
        <v>1887.7372340140873</v>
      </c>
      <c r="I233" s="6">
        <v>16773.826714226732</v>
      </c>
      <c r="J233" s="6">
        <v>3501.629316418956</v>
      </c>
      <c r="K233" s="6">
        <v>637.49372931168966</v>
      </c>
      <c r="L233" s="6">
        <v>1145.1111755526335</v>
      </c>
      <c r="M233" s="6">
        <v>1295.5291308259145</v>
      </c>
      <c r="N233" s="6">
        <v>1162.416871274771</v>
      </c>
      <c r="O233" s="7">
        <v>2057.7383401021939</v>
      </c>
      <c r="P233" s="6">
        <f>O233/O232*100-100</f>
        <v>-2.9760464344058022</v>
      </c>
    </row>
    <row r="234" spans="2:16" s="8" customFormat="1" ht="34.9" hidden="1" customHeight="1">
      <c r="B234" s="15">
        <v>44531</v>
      </c>
      <c r="C234" s="11">
        <v>3665.8922577928997</v>
      </c>
      <c r="D234" s="10">
        <v>1069.5628248955732</v>
      </c>
      <c r="E234" s="10">
        <v>1794.7669655109867</v>
      </c>
      <c r="F234" s="10">
        <v>57.318788012847058</v>
      </c>
      <c r="G234" s="10">
        <v>5540.8079584620973</v>
      </c>
      <c r="H234" s="10">
        <v>1896.5373985360586</v>
      </c>
      <c r="I234" s="10">
        <v>14003.836981602137</v>
      </c>
      <c r="J234" s="10">
        <v>3588.9431537577143</v>
      </c>
      <c r="K234" s="10">
        <v>666.77053156075578</v>
      </c>
      <c r="L234" s="10">
        <v>1145.1111755526335</v>
      </c>
      <c r="M234" s="10">
        <v>1289.640362049433</v>
      </c>
      <c r="N234" s="10">
        <v>1162.416871274771</v>
      </c>
      <c r="O234" s="11">
        <v>2118.6494015799271</v>
      </c>
      <c r="P234" s="10">
        <f>O234/O233*100-100</f>
        <v>2.9600975153482523</v>
      </c>
    </row>
    <row r="235" spans="2:16" s="8" customFormat="1" ht="34.9" hidden="1" customHeight="1">
      <c r="B235" s="3">
        <v>2022</v>
      </c>
      <c r="C235" s="93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3"/>
      <c r="P235" s="94"/>
    </row>
    <row r="236" spans="2:16" s="8" customFormat="1" ht="34.9" hidden="1" customHeight="1">
      <c r="B236" s="14">
        <v>44562</v>
      </c>
      <c r="C236" s="7">
        <v>3590.6</v>
      </c>
      <c r="D236" s="6">
        <v>1085.68</v>
      </c>
      <c r="E236" s="6">
        <v>1745.63</v>
      </c>
      <c r="F236" s="6">
        <v>57.32</v>
      </c>
      <c r="G236" s="6">
        <v>5540.81</v>
      </c>
      <c r="H236" s="6">
        <v>1855.42</v>
      </c>
      <c r="I236" s="6">
        <v>12157.18</v>
      </c>
      <c r="J236" s="6">
        <v>3507.69</v>
      </c>
      <c r="K236" s="6">
        <v>620.62</v>
      </c>
      <c r="L236" s="6">
        <v>1157.3499999999999</v>
      </c>
      <c r="M236" s="6">
        <v>1307.31</v>
      </c>
      <c r="N236" s="6">
        <v>1162.42</v>
      </c>
      <c r="O236" s="7">
        <v>2164.92</v>
      </c>
      <c r="P236" s="6">
        <f>O236/O234*100-100</f>
        <v>2.183966747191306</v>
      </c>
    </row>
    <row r="237" spans="2:16" s="8" customFormat="1" ht="34.9" hidden="1" customHeight="1">
      <c r="B237" s="15">
        <v>44593</v>
      </c>
      <c r="C237" s="11">
        <v>3715.04</v>
      </c>
      <c r="D237" s="10">
        <v>1038.02</v>
      </c>
      <c r="E237" s="10">
        <v>1652.6</v>
      </c>
      <c r="F237" s="10">
        <v>57.32</v>
      </c>
      <c r="G237" s="10">
        <v>5540.81</v>
      </c>
      <c r="H237" s="10">
        <v>1837.98</v>
      </c>
      <c r="I237" s="10">
        <v>9864.91</v>
      </c>
      <c r="J237" s="10">
        <v>3730.02</v>
      </c>
      <c r="K237" s="10">
        <v>581.04</v>
      </c>
      <c r="L237" s="10">
        <v>1145.1099999999999</v>
      </c>
      <c r="M237" s="10">
        <v>1313.2</v>
      </c>
      <c r="N237" s="10">
        <v>1162.42</v>
      </c>
      <c r="O237" s="11">
        <v>2148.34</v>
      </c>
      <c r="P237" s="10">
        <f>O237/O236*100-100</f>
        <v>-0.76584816067105521</v>
      </c>
    </row>
    <row r="238" spans="2:16" s="8" customFormat="1" ht="34.9" hidden="1" customHeight="1">
      <c r="B238" s="14">
        <v>44621</v>
      </c>
      <c r="C238" s="7">
        <v>4591.8999999999996</v>
      </c>
      <c r="D238" s="6">
        <v>1002.76</v>
      </c>
      <c r="E238" s="6">
        <v>1642.22</v>
      </c>
      <c r="F238" s="6">
        <v>57.32</v>
      </c>
      <c r="G238" s="6">
        <v>5540.81</v>
      </c>
      <c r="H238" s="6">
        <v>1807.26</v>
      </c>
      <c r="I238" s="6">
        <v>5898.61</v>
      </c>
      <c r="J238" s="6">
        <v>4985.4799999999996</v>
      </c>
      <c r="K238" s="6">
        <v>523.63</v>
      </c>
      <c r="L238" s="6">
        <v>1112.69</v>
      </c>
      <c r="M238" s="6">
        <v>1342.64</v>
      </c>
      <c r="N238" s="6">
        <v>1162.42</v>
      </c>
      <c r="O238" s="7">
        <v>2228.12</v>
      </c>
      <c r="P238" s="6">
        <f>O238/O237*100-100</f>
        <v>3.7135648919630881</v>
      </c>
    </row>
    <row r="239" spans="2:16" s="8" customFormat="1" ht="34.9" hidden="1" customHeight="1">
      <c r="B239" s="15">
        <v>44652</v>
      </c>
      <c r="C239" s="11">
        <v>5415.02</v>
      </c>
      <c r="D239" s="10">
        <v>948.82</v>
      </c>
      <c r="E239" s="10">
        <v>1662.47</v>
      </c>
      <c r="F239" s="10">
        <v>57.32</v>
      </c>
      <c r="G239" s="10">
        <v>5540.81</v>
      </c>
      <c r="H239" s="10">
        <v>1641.88</v>
      </c>
      <c r="I239" s="10">
        <v>5491.81</v>
      </c>
      <c r="J239" s="10">
        <v>6202.54</v>
      </c>
      <c r="K239" s="10">
        <v>536.63</v>
      </c>
      <c r="L239" s="10">
        <v>1031.96</v>
      </c>
      <c r="M239" s="10">
        <v>1283.75</v>
      </c>
      <c r="N239" s="10">
        <v>1162.42</v>
      </c>
      <c r="O239" s="11">
        <v>2408.0700000000002</v>
      </c>
      <c r="P239" s="10">
        <f>O239/O238*100-100</f>
        <v>8.0763154587724273</v>
      </c>
    </row>
    <row r="240" spans="2:16" s="8" customFormat="1" ht="34.9" hidden="1" customHeight="1">
      <c r="B240" s="14">
        <v>44682</v>
      </c>
      <c r="C240" s="7">
        <v>5794.14</v>
      </c>
      <c r="D240" s="6">
        <v>928.8</v>
      </c>
      <c r="E240" s="6">
        <v>1608.18</v>
      </c>
      <c r="F240" s="6">
        <v>57.32</v>
      </c>
      <c r="G240" s="6">
        <v>5540.81</v>
      </c>
      <c r="H240" s="6">
        <v>1621.63</v>
      </c>
      <c r="I240" s="6">
        <v>5695.21</v>
      </c>
      <c r="J240" s="6">
        <v>6758.43</v>
      </c>
      <c r="K240" s="6">
        <v>513.19000000000005</v>
      </c>
      <c r="L240" s="6">
        <v>999.53</v>
      </c>
      <c r="M240" s="6">
        <v>1301.42</v>
      </c>
      <c r="N240" s="6">
        <v>1162.42</v>
      </c>
      <c r="O240" s="7">
        <v>2472.5100000000002</v>
      </c>
      <c r="P240" s="6">
        <f t="shared" ref="P240:P243" si="15">O240/O239*100-100</f>
        <v>2.6760019434651099</v>
      </c>
    </row>
    <row r="241" spans="2:16" s="8" customFormat="1" ht="34.9" hidden="1" customHeight="1">
      <c r="B241" s="15">
        <v>44713</v>
      </c>
      <c r="C241" s="11">
        <v>5607.55</v>
      </c>
      <c r="D241" s="10">
        <v>905.17</v>
      </c>
      <c r="E241" s="10">
        <v>1600.6</v>
      </c>
      <c r="F241" s="10">
        <v>57.32</v>
      </c>
      <c r="G241" s="10">
        <v>5540.81</v>
      </c>
      <c r="H241" s="10">
        <v>1615.05</v>
      </c>
      <c r="I241" s="10">
        <v>10170.01</v>
      </c>
      <c r="J241" s="10">
        <v>6491.52</v>
      </c>
      <c r="K241" s="10">
        <v>519.15</v>
      </c>
      <c r="L241" s="10">
        <v>1011.77</v>
      </c>
      <c r="M241" s="10">
        <v>1342.64</v>
      </c>
      <c r="N241" s="10">
        <v>1162.42</v>
      </c>
      <c r="O241" s="11">
        <v>2476.0300000000002</v>
      </c>
      <c r="P241" s="10">
        <f t="shared" si="15"/>
        <v>0.14236545049361382</v>
      </c>
    </row>
    <row r="242" spans="2:16" s="8" customFormat="1" ht="34.9" hidden="1" customHeight="1">
      <c r="B242" s="14">
        <v>44743</v>
      </c>
      <c r="C242" s="7">
        <v>5777.3</v>
      </c>
      <c r="D242" s="6">
        <v>1003.35</v>
      </c>
      <c r="E242" s="6">
        <v>1608.23</v>
      </c>
      <c r="F242" s="6">
        <v>57.32</v>
      </c>
      <c r="G242" s="6">
        <v>5540.81</v>
      </c>
      <c r="H242" s="6">
        <v>1603.83</v>
      </c>
      <c r="I242" s="6">
        <v>8644.51</v>
      </c>
      <c r="J242" s="6">
        <v>6709.73</v>
      </c>
      <c r="K242" s="6">
        <v>516.58000000000004</v>
      </c>
      <c r="L242" s="6">
        <v>947.74</v>
      </c>
      <c r="M242" s="6">
        <v>1324.97</v>
      </c>
      <c r="N242" s="6">
        <v>1162.42</v>
      </c>
      <c r="O242" s="7">
        <v>2607.1</v>
      </c>
      <c r="P242" s="6">
        <f t="shared" si="15"/>
        <v>5.2935546015193466</v>
      </c>
    </row>
    <row r="243" spans="2:16" s="8" customFormat="1" ht="34.9" hidden="1" customHeight="1">
      <c r="B243" s="15">
        <v>44774</v>
      </c>
      <c r="C243" s="11">
        <v>5683</v>
      </c>
      <c r="D243" s="10">
        <v>987.94</v>
      </c>
      <c r="E243" s="10">
        <v>1624.23</v>
      </c>
      <c r="F243" s="10">
        <v>57.32</v>
      </c>
      <c r="G243" s="10">
        <v>5540.81</v>
      </c>
      <c r="H243" s="10">
        <v>1555.56</v>
      </c>
      <c r="I243" s="10">
        <v>9051.31</v>
      </c>
      <c r="J243" s="10">
        <v>6576.2</v>
      </c>
      <c r="K243" s="10">
        <v>570.1</v>
      </c>
      <c r="L243" s="10">
        <v>949.86</v>
      </c>
      <c r="M243" s="10">
        <v>1313.2</v>
      </c>
      <c r="N243" s="10">
        <v>1162.42</v>
      </c>
      <c r="O243" s="11">
        <v>2546.9499999999998</v>
      </c>
      <c r="P243" s="10">
        <f t="shared" si="15"/>
        <v>-2.3071612136089925</v>
      </c>
    </row>
    <row r="244" spans="2:16" s="8" customFormat="1" ht="34.9" hidden="1" customHeight="1">
      <c r="B244" s="14">
        <v>44805</v>
      </c>
      <c r="C244" s="7">
        <v>5444.64</v>
      </c>
      <c r="D244" s="6">
        <v>953.82</v>
      </c>
      <c r="E244" s="6">
        <v>1595.64</v>
      </c>
      <c r="F244" s="6">
        <v>57.32</v>
      </c>
      <c r="G244" s="6">
        <v>5540.81</v>
      </c>
      <c r="H244" s="6">
        <v>1500.56</v>
      </c>
      <c r="I244" s="6">
        <v>8746.2099999999991</v>
      </c>
      <c r="J244" s="6">
        <v>6271.78</v>
      </c>
      <c r="K244" s="6">
        <v>572.85</v>
      </c>
      <c r="L244" s="6">
        <v>929.23</v>
      </c>
      <c r="M244" s="6">
        <v>1295.53</v>
      </c>
      <c r="N244" s="6">
        <v>1162.42</v>
      </c>
      <c r="O244" s="7">
        <v>2483.64</v>
      </c>
      <c r="P244" s="6">
        <f>O244/O243*100-100</f>
        <v>-2.4857182119790195</v>
      </c>
    </row>
    <row r="245" spans="2:16" s="8" customFormat="1" ht="34.9" hidden="1" customHeight="1">
      <c r="B245" s="15">
        <v>44835</v>
      </c>
      <c r="C245" s="11">
        <v>5250.01</v>
      </c>
      <c r="D245" s="10">
        <v>916.96</v>
      </c>
      <c r="E245" s="10">
        <v>1552.59</v>
      </c>
      <c r="F245" s="10">
        <v>57.32</v>
      </c>
      <c r="G245" s="10">
        <v>5540.81</v>
      </c>
      <c r="H245" s="10">
        <v>1483.65</v>
      </c>
      <c r="I245" s="10">
        <v>8237.7099999999991</v>
      </c>
      <c r="J245" s="10">
        <v>6030.19</v>
      </c>
      <c r="K245" s="10">
        <v>563.74</v>
      </c>
      <c r="L245" s="10">
        <v>906.47</v>
      </c>
      <c r="M245" s="10">
        <v>1277.8599999999999</v>
      </c>
      <c r="N245" s="10">
        <v>1162.42</v>
      </c>
      <c r="O245" s="11">
        <v>2441.9699999999998</v>
      </c>
      <c r="P245" s="10">
        <f>O245/O244*100-100</f>
        <v>-1.6777793883171483</v>
      </c>
    </row>
    <row r="246" spans="2:16" s="8" customFormat="1" ht="34.9" hidden="1" customHeight="1">
      <c r="B246" s="14">
        <v>44866</v>
      </c>
      <c r="C246" s="7">
        <v>5289.39</v>
      </c>
      <c r="D246" s="6">
        <v>939.72</v>
      </c>
      <c r="E246" s="6">
        <v>1603.92</v>
      </c>
      <c r="F246" s="6">
        <v>57.32</v>
      </c>
      <c r="G246" s="6">
        <v>5540.81</v>
      </c>
      <c r="H246" s="6">
        <v>1493.85</v>
      </c>
      <c r="I246" s="6">
        <v>7424.11</v>
      </c>
      <c r="J246" s="6">
        <v>6080.65</v>
      </c>
      <c r="K246" s="6">
        <v>553.29999999999995</v>
      </c>
      <c r="L246" s="6">
        <v>853.82</v>
      </c>
      <c r="M246" s="6">
        <v>1224.8599999999999</v>
      </c>
      <c r="N246" s="6">
        <v>1162.42</v>
      </c>
      <c r="O246" s="7">
        <v>2492.9</v>
      </c>
      <c r="P246" s="6">
        <f>O246/O245*100-100</f>
        <v>2.0856112073448969</v>
      </c>
    </row>
    <row r="247" spans="2:16" s="8" customFormat="1" ht="34.9" hidden="1" customHeight="1">
      <c r="B247" s="15">
        <v>44896</v>
      </c>
      <c r="C247" s="11">
        <v>5292.28</v>
      </c>
      <c r="D247" s="10">
        <v>945.46</v>
      </c>
      <c r="E247" s="10">
        <v>1599.48</v>
      </c>
      <c r="F247" s="10">
        <v>57.32</v>
      </c>
      <c r="G247" s="10">
        <v>5540.81</v>
      </c>
      <c r="H247" s="10">
        <v>1512.71</v>
      </c>
      <c r="I247" s="10">
        <v>7424.11</v>
      </c>
      <c r="J247" s="10">
        <v>6068.27</v>
      </c>
      <c r="K247" s="10">
        <v>564.25</v>
      </c>
      <c r="L247" s="10">
        <v>885.83</v>
      </c>
      <c r="M247" s="10">
        <v>1260.2</v>
      </c>
      <c r="N247" s="10">
        <v>1162.42</v>
      </c>
      <c r="O247" s="11">
        <v>2501.6</v>
      </c>
      <c r="P247" s="10">
        <f>O247/O246*100-100</f>
        <v>0.34899113482289579</v>
      </c>
    </row>
    <row r="248" spans="2:16" s="8" customFormat="1" ht="34.9" hidden="1" customHeight="1">
      <c r="B248" s="3">
        <v>2023</v>
      </c>
      <c r="C248" s="93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3"/>
      <c r="P248" s="94"/>
    </row>
    <row r="249" spans="2:16" s="8" customFormat="1" ht="34.9" hidden="1" customHeight="1">
      <c r="B249" s="14">
        <v>44927</v>
      </c>
      <c r="C249" s="7">
        <v>6001.81</v>
      </c>
      <c r="D249" s="6">
        <v>945.98</v>
      </c>
      <c r="E249" s="6">
        <v>1596.3</v>
      </c>
      <c r="F249" s="6">
        <v>57.32</v>
      </c>
      <c r="G249" s="6">
        <v>5540.81</v>
      </c>
      <c r="H249" s="6">
        <v>1489.61</v>
      </c>
      <c r="I249" s="6">
        <v>6407.11</v>
      </c>
      <c r="J249" s="6">
        <v>7115.15</v>
      </c>
      <c r="K249" s="6">
        <v>570.82000000000005</v>
      </c>
      <c r="L249" s="6">
        <v>853.82</v>
      </c>
      <c r="M249" s="6">
        <v>1307.31</v>
      </c>
      <c r="N249" s="6">
        <v>1162.42</v>
      </c>
      <c r="O249" s="7">
        <v>2676.5</v>
      </c>
      <c r="P249" s="6">
        <f>O249/O247*100-100</f>
        <v>6.9915254237288309</v>
      </c>
    </row>
    <row r="250" spans="2:16" s="8" customFormat="1" ht="34.9" hidden="1" customHeight="1">
      <c r="B250" s="15">
        <v>44958</v>
      </c>
      <c r="C250" s="11">
        <v>6049.63</v>
      </c>
      <c r="D250" s="10">
        <v>948.93</v>
      </c>
      <c r="E250" s="10">
        <v>1575.77</v>
      </c>
      <c r="F250" s="10">
        <v>57.32</v>
      </c>
      <c r="G250" s="10">
        <v>5540.81</v>
      </c>
      <c r="H250" s="10">
        <v>1460.99</v>
      </c>
      <c r="I250" s="10">
        <v>10475.11</v>
      </c>
      <c r="J250" s="10">
        <v>7176.92</v>
      </c>
      <c r="K250" s="10">
        <v>572.41</v>
      </c>
      <c r="L250" s="10">
        <v>872.33</v>
      </c>
      <c r="M250" s="10">
        <v>1319.08</v>
      </c>
      <c r="N250" s="10">
        <v>1162.42</v>
      </c>
      <c r="O250" s="11">
        <v>2655.08</v>
      </c>
      <c r="P250" s="10">
        <f t="shared" ref="P250:P256" si="16">O250/O249*100-100</f>
        <v>-0.80029889781431507</v>
      </c>
    </row>
    <row r="251" spans="2:16" s="8" customFormat="1" ht="34.9" hidden="1" customHeight="1">
      <c r="B251" s="14">
        <v>44986</v>
      </c>
      <c r="C251" s="7">
        <v>5670.32</v>
      </c>
      <c r="D251" s="6">
        <v>958.16</v>
      </c>
      <c r="E251" s="6">
        <v>1474.29</v>
      </c>
      <c r="F251" s="6">
        <v>57.32</v>
      </c>
      <c r="G251" s="6">
        <v>5540.81</v>
      </c>
      <c r="H251" s="6">
        <v>1414.24</v>
      </c>
      <c r="I251" s="6">
        <v>8034.31</v>
      </c>
      <c r="J251" s="6">
        <v>6665.53</v>
      </c>
      <c r="K251" s="6">
        <v>570.62</v>
      </c>
      <c r="L251" s="6">
        <v>831.06</v>
      </c>
      <c r="M251" s="6">
        <v>1295.53</v>
      </c>
      <c r="N251" s="6">
        <v>1162.42</v>
      </c>
      <c r="O251" s="7">
        <v>2601.1999999999998</v>
      </c>
      <c r="P251" s="6">
        <f t="shared" si="16"/>
        <v>-2.0293173840336323</v>
      </c>
    </row>
    <row r="252" spans="2:16" s="8" customFormat="1" ht="34.9" hidden="1" customHeight="1">
      <c r="B252" s="15">
        <v>45017</v>
      </c>
      <c r="C252" s="11">
        <v>5127.25</v>
      </c>
      <c r="D252" s="10">
        <v>976.26</v>
      </c>
      <c r="E252" s="10">
        <v>1478.58</v>
      </c>
      <c r="F252" s="10">
        <v>57.32</v>
      </c>
      <c r="G252" s="10">
        <v>5540.81</v>
      </c>
      <c r="H252" s="10">
        <v>1417.02</v>
      </c>
      <c r="I252" s="10">
        <v>8339.41</v>
      </c>
      <c r="J252" s="10">
        <v>5858.07</v>
      </c>
      <c r="K252" s="10">
        <v>569.72</v>
      </c>
      <c r="L252" s="10">
        <v>831.06</v>
      </c>
      <c r="M252" s="10">
        <v>1213.0899999999999</v>
      </c>
      <c r="N252" s="10">
        <v>1162.42</v>
      </c>
      <c r="O252" s="11">
        <v>2461.48</v>
      </c>
      <c r="P252" s="10">
        <f t="shared" si="16"/>
        <v>-5.3713670613562954</v>
      </c>
    </row>
    <row r="253" spans="2:16" s="8" customFormat="1" ht="34.9" hidden="1" customHeight="1">
      <c r="B253" s="14">
        <v>45047</v>
      </c>
      <c r="C253" s="7">
        <v>5292.89</v>
      </c>
      <c r="D253" s="6">
        <v>1107.1099999999999</v>
      </c>
      <c r="E253" s="6">
        <v>1476.59</v>
      </c>
      <c r="F253" s="6">
        <v>57.32</v>
      </c>
      <c r="G253" s="6">
        <v>5540.81</v>
      </c>
      <c r="H253" s="6">
        <v>1366.24</v>
      </c>
      <c r="I253" s="6">
        <v>7830.91</v>
      </c>
      <c r="J253" s="6">
        <v>6023.19</v>
      </c>
      <c r="K253" s="6">
        <v>626.78</v>
      </c>
      <c r="L253" s="6">
        <v>881.59</v>
      </c>
      <c r="M253" s="6">
        <v>1236.6400000000001</v>
      </c>
      <c r="N253" s="6">
        <v>1162.42</v>
      </c>
      <c r="O253" s="7">
        <v>2481.35</v>
      </c>
      <c r="P253" s="6">
        <f t="shared" si="16"/>
        <v>0.80723792190065069</v>
      </c>
    </row>
    <row r="254" spans="2:16" s="8" customFormat="1" ht="34.9" hidden="1" customHeight="1">
      <c r="B254" s="15">
        <v>45078</v>
      </c>
      <c r="C254" s="11">
        <v>5217.57</v>
      </c>
      <c r="D254" s="10">
        <v>1108.99</v>
      </c>
      <c r="E254" s="10">
        <v>1451.15</v>
      </c>
      <c r="F254" s="10">
        <v>57.32</v>
      </c>
      <c r="G254" s="10">
        <v>5540.81</v>
      </c>
      <c r="H254" s="10">
        <v>1346.17</v>
      </c>
      <c r="I254" s="10">
        <v>7017.31</v>
      </c>
      <c r="J254" s="10">
        <v>5890.65</v>
      </c>
      <c r="K254" s="10">
        <v>685.4</v>
      </c>
      <c r="L254" s="10">
        <v>892.97</v>
      </c>
      <c r="M254" s="10">
        <v>1260.2</v>
      </c>
      <c r="N254" s="10">
        <v>1162.42</v>
      </c>
      <c r="O254" s="11">
        <v>2465.52</v>
      </c>
      <c r="P254" s="10">
        <f t="shared" si="16"/>
        <v>-0.63795917544884162</v>
      </c>
    </row>
    <row r="255" spans="2:16" s="8" customFormat="1" ht="34.9" hidden="1" customHeight="1">
      <c r="B255" s="14">
        <v>45108</v>
      </c>
      <c r="C255" s="7">
        <v>5015.79</v>
      </c>
      <c r="D255" s="6">
        <v>1024.03</v>
      </c>
      <c r="E255" s="6">
        <v>1453.61</v>
      </c>
      <c r="F255" s="6">
        <v>57.32</v>
      </c>
      <c r="G255" s="6">
        <v>5540.81</v>
      </c>
      <c r="H255" s="6">
        <v>1330.09</v>
      </c>
      <c r="I255" s="6">
        <v>7119.01</v>
      </c>
      <c r="J255" s="6">
        <v>5661.16</v>
      </c>
      <c r="K255" s="6">
        <v>628.6</v>
      </c>
      <c r="L255" s="6">
        <v>881.59</v>
      </c>
      <c r="M255" s="6">
        <v>1277.8599999999999</v>
      </c>
      <c r="N255" s="6">
        <v>1162.42</v>
      </c>
      <c r="O255" s="7">
        <v>2445.9</v>
      </c>
      <c r="P255" s="6">
        <f t="shared" si="16"/>
        <v>-0.79577533339822537</v>
      </c>
    </row>
    <row r="256" spans="2:16" s="8" customFormat="1" ht="34.9" hidden="1" customHeight="1">
      <c r="B256" s="15">
        <v>45139</v>
      </c>
      <c r="C256" s="11">
        <v>4840.8900000000003</v>
      </c>
      <c r="D256" s="10">
        <v>985.48</v>
      </c>
      <c r="E256" s="10">
        <v>1410.22</v>
      </c>
      <c r="F256" s="10">
        <v>57.32</v>
      </c>
      <c r="G256" s="10">
        <v>5540.81</v>
      </c>
      <c r="H256" s="10">
        <v>1306.07</v>
      </c>
      <c r="I256" s="10">
        <v>8034.31</v>
      </c>
      <c r="J256" s="10">
        <v>5476.04</v>
      </c>
      <c r="K256" s="10">
        <v>553.48</v>
      </c>
      <c r="L256" s="10">
        <v>881.59</v>
      </c>
      <c r="M256" s="10">
        <v>1236.6400000000001</v>
      </c>
      <c r="N256" s="10">
        <v>1162.42</v>
      </c>
      <c r="O256" s="11">
        <v>2408.69</v>
      </c>
      <c r="P256" s="10">
        <f t="shared" si="16"/>
        <v>-1.5213213949875239</v>
      </c>
    </row>
    <row r="257" spans="2:16" s="8" customFormat="1" ht="34.9" hidden="1" customHeight="1">
      <c r="B257" s="14">
        <v>45170</v>
      </c>
      <c r="C257" s="7">
        <v>4870.72</v>
      </c>
      <c r="D257" s="6">
        <v>1024.83</v>
      </c>
      <c r="E257" s="6">
        <v>1423.25</v>
      </c>
      <c r="F257" s="6">
        <v>57.32</v>
      </c>
      <c r="G257" s="6">
        <v>5540.81</v>
      </c>
      <c r="H257" s="6">
        <v>1374.95</v>
      </c>
      <c r="I257" s="6">
        <v>9458.11</v>
      </c>
      <c r="J257" s="6">
        <v>5413.21</v>
      </c>
      <c r="K257" s="6">
        <v>657.07</v>
      </c>
      <c r="L257" s="6">
        <v>881.59</v>
      </c>
      <c r="M257" s="6">
        <v>1295.53</v>
      </c>
      <c r="N257" s="6">
        <v>1162.42</v>
      </c>
      <c r="O257" s="7">
        <v>2414.02</v>
      </c>
      <c r="P257" s="6">
        <f>O257/O256*100-100</f>
        <v>0.22128210770169687</v>
      </c>
    </row>
    <row r="258" spans="2:16" s="8" customFormat="1" ht="34.9" hidden="1" customHeight="1">
      <c r="B258" s="15">
        <v>45200</v>
      </c>
      <c r="C258" s="11">
        <v>4737.68</v>
      </c>
      <c r="D258" s="10">
        <v>962.45</v>
      </c>
      <c r="E258" s="10">
        <v>1362.52</v>
      </c>
      <c r="F258" s="10">
        <v>57.32</v>
      </c>
      <c r="G258" s="10">
        <v>5540.81</v>
      </c>
      <c r="H258" s="10">
        <v>1426.73</v>
      </c>
      <c r="I258" s="10">
        <v>8034.31</v>
      </c>
      <c r="J258" s="10">
        <v>5248.73</v>
      </c>
      <c r="K258" s="10">
        <v>659.07</v>
      </c>
      <c r="L258" s="10">
        <v>860.95</v>
      </c>
      <c r="M258" s="10">
        <v>1289.6400000000001</v>
      </c>
      <c r="N258" s="10">
        <v>1162.42</v>
      </c>
      <c r="O258" s="11">
        <v>2414.75</v>
      </c>
      <c r="P258" s="10">
        <v>3.0240014581487236E-2</v>
      </c>
    </row>
    <row r="259" spans="2:16" s="8" customFormat="1" ht="34.9" hidden="1" customHeight="1">
      <c r="B259" s="14">
        <v>45231</v>
      </c>
      <c r="C259" s="7">
        <v>4713.01</v>
      </c>
      <c r="D259" s="6">
        <v>1020.94</v>
      </c>
      <c r="E259" s="6">
        <v>1364.07</v>
      </c>
      <c r="F259" s="6">
        <v>57.32</v>
      </c>
      <c r="G259" s="6">
        <v>5540.81</v>
      </c>
      <c r="H259" s="6">
        <v>1449.63</v>
      </c>
      <c r="I259" s="6">
        <v>9254.7099999999991</v>
      </c>
      <c r="J259" s="6">
        <v>5176.33</v>
      </c>
      <c r="K259" s="6">
        <v>649.73</v>
      </c>
      <c r="L259" s="6">
        <v>881.59</v>
      </c>
      <c r="M259" s="6">
        <v>1295.53</v>
      </c>
      <c r="N259" s="6">
        <v>1162.42</v>
      </c>
      <c r="O259" s="7">
        <v>2406.8000000000002</v>
      </c>
      <c r="P259" s="6">
        <v>-0.32922662801531499</v>
      </c>
    </row>
    <row r="260" spans="2:16" s="8" customFormat="1" ht="34.9" hidden="1" customHeight="1">
      <c r="B260" s="60">
        <v>45261</v>
      </c>
      <c r="C260" s="62">
        <v>4718.6899999999996</v>
      </c>
      <c r="D260" s="61">
        <v>1037.5999999999999</v>
      </c>
      <c r="E260" s="61">
        <v>1409.08</v>
      </c>
      <c r="F260" s="61">
        <v>57.32</v>
      </c>
      <c r="G260" s="61">
        <v>5540.81</v>
      </c>
      <c r="H260" s="61">
        <v>1464.35</v>
      </c>
      <c r="I260" s="61">
        <v>8136.01</v>
      </c>
      <c r="J260" s="61">
        <v>5154.0200000000004</v>
      </c>
      <c r="K260" s="61">
        <v>658.18</v>
      </c>
      <c r="L260" s="61">
        <v>984.77</v>
      </c>
      <c r="M260" s="61">
        <v>1271.97</v>
      </c>
      <c r="N260" s="61">
        <v>1162.42</v>
      </c>
      <c r="O260" s="62">
        <v>2431.21</v>
      </c>
      <c r="P260" s="10">
        <v>1.0142097390726215</v>
      </c>
    </row>
    <row r="261" spans="2:16" s="8" customFormat="1" ht="34.9" hidden="1" customHeight="1">
      <c r="B261" s="3">
        <v>2024</v>
      </c>
      <c r="C261" s="93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3"/>
      <c r="P261" s="94"/>
    </row>
    <row r="262" spans="2:16" s="8" customFormat="1" ht="34.9" hidden="1" customHeight="1">
      <c r="B262" s="14">
        <v>45292</v>
      </c>
      <c r="C262" s="7">
        <v>4818.2700000000004</v>
      </c>
      <c r="D262" s="6">
        <v>1012.12</v>
      </c>
      <c r="E262" s="6">
        <v>1419.58</v>
      </c>
      <c r="F262" s="6">
        <v>57.32</v>
      </c>
      <c r="G262" s="6">
        <v>5540.81</v>
      </c>
      <c r="H262" s="6">
        <v>1380.95</v>
      </c>
      <c r="I262" s="6">
        <v>7119.01</v>
      </c>
      <c r="J262" s="6">
        <v>5322.5</v>
      </c>
      <c r="K262" s="6">
        <v>691.47</v>
      </c>
      <c r="L262" s="6">
        <v>1005.41</v>
      </c>
      <c r="M262" s="6">
        <v>1260.2</v>
      </c>
      <c r="N262" s="6">
        <v>1162.42</v>
      </c>
      <c r="O262" s="7">
        <v>2480.7600000000002</v>
      </c>
      <c r="P262" s="6">
        <f>O262/O260*100-100</f>
        <v>2.0380798038836616</v>
      </c>
    </row>
    <row r="263" spans="2:16" s="8" customFormat="1" ht="34.9" hidden="1" customHeight="1">
      <c r="B263" s="15">
        <v>45323</v>
      </c>
      <c r="C263" s="11">
        <v>4885.08</v>
      </c>
      <c r="D263" s="10">
        <v>1053.82</v>
      </c>
      <c r="E263" s="10">
        <v>1452.57</v>
      </c>
      <c r="F263" s="10">
        <v>57.32</v>
      </c>
      <c r="G263" s="10">
        <v>5540.81</v>
      </c>
      <c r="H263" s="10">
        <v>1329.05</v>
      </c>
      <c r="I263" s="10">
        <v>5491.81</v>
      </c>
      <c r="J263" s="10">
        <v>5409.59</v>
      </c>
      <c r="K263" s="10">
        <v>706.52</v>
      </c>
      <c r="L263" s="10">
        <v>1005.41</v>
      </c>
      <c r="M263" s="10">
        <v>1266.0899999999999</v>
      </c>
      <c r="N263" s="10">
        <v>1162.42</v>
      </c>
      <c r="O263" s="11">
        <v>2467.25</v>
      </c>
      <c r="P263" s="10">
        <f t="shared" ref="P263" si="17">O263/O262*100-100</f>
        <v>-0.54459117367258614</v>
      </c>
    </row>
    <row r="264" spans="2:16" s="8" customFormat="1" ht="34.9" hidden="1" customHeight="1">
      <c r="B264" s="14">
        <v>45352</v>
      </c>
      <c r="C264" s="7">
        <v>4768.33</v>
      </c>
      <c r="D264" s="6">
        <v>1033.8800000000001</v>
      </c>
      <c r="E264" s="6">
        <v>1437.15</v>
      </c>
      <c r="F264" s="6">
        <v>57.32</v>
      </c>
      <c r="G264" s="6">
        <v>5540.81</v>
      </c>
      <c r="H264" s="6">
        <v>1357.24</v>
      </c>
      <c r="I264" s="6">
        <v>4474.8</v>
      </c>
      <c r="J264" s="6">
        <v>5229.53</v>
      </c>
      <c r="K264" s="6">
        <v>748.87</v>
      </c>
      <c r="L264" s="6">
        <v>932.12</v>
      </c>
      <c r="M264" s="6">
        <v>1271.97</v>
      </c>
      <c r="N264" s="6">
        <v>1162.42</v>
      </c>
      <c r="O264" s="7">
        <v>2437.7199999999998</v>
      </c>
      <c r="P264" s="6">
        <f t="shared" ref="P264:P268" si="18">O264/O263*100-100</f>
        <v>-1.1968791164251797</v>
      </c>
    </row>
    <row r="265" spans="2:16" s="8" customFormat="1" ht="34.9" hidden="1" customHeight="1">
      <c r="B265" s="15">
        <v>45383</v>
      </c>
      <c r="C265" s="11">
        <v>4909.66</v>
      </c>
      <c r="D265" s="10">
        <v>1038.44</v>
      </c>
      <c r="E265" s="10">
        <v>1433.91</v>
      </c>
      <c r="F265" s="10">
        <v>57.32</v>
      </c>
      <c r="G265" s="10">
        <v>5540.81</v>
      </c>
      <c r="H265" s="10">
        <v>1372.28</v>
      </c>
      <c r="I265" s="10">
        <v>4779.8999999999996</v>
      </c>
      <c r="J265" s="10">
        <v>5394.82</v>
      </c>
      <c r="K265" s="10">
        <v>900.58</v>
      </c>
      <c r="L265" s="10">
        <v>883.06</v>
      </c>
      <c r="M265" s="10">
        <v>1213.0899999999999</v>
      </c>
      <c r="N265" s="10">
        <v>1162.42</v>
      </c>
      <c r="O265" s="11">
        <v>2390.5500000000002</v>
      </c>
      <c r="P265" s="10">
        <f t="shared" si="18"/>
        <v>-1.9350048405887321</v>
      </c>
    </row>
    <row r="266" spans="2:16" s="8" customFormat="1" ht="34.9" hidden="1" customHeight="1">
      <c r="B266" s="14">
        <v>45413</v>
      </c>
      <c r="C266" s="7">
        <v>4770.0200000000004</v>
      </c>
      <c r="D266" s="6">
        <v>1029.1199999999999</v>
      </c>
      <c r="E266" s="6">
        <v>1477.53</v>
      </c>
      <c r="F266" s="6">
        <v>57.32</v>
      </c>
      <c r="G266" s="6">
        <v>5540.81</v>
      </c>
      <c r="H266" s="6">
        <v>1382.37</v>
      </c>
      <c r="I266" s="6">
        <v>4068</v>
      </c>
      <c r="J266" s="6">
        <v>5170.6499999999996</v>
      </c>
      <c r="K266" s="6">
        <v>921.31</v>
      </c>
      <c r="L266" s="6">
        <v>1005.71</v>
      </c>
      <c r="M266" s="6">
        <v>1207.2</v>
      </c>
      <c r="N266" s="6">
        <v>1162.42</v>
      </c>
      <c r="O266" s="7">
        <v>2402.25</v>
      </c>
      <c r="P266" s="6">
        <f t="shared" si="18"/>
        <v>0.48942711928216909</v>
      </c>
    </row>
    <row r="267" spans="2:16" s="8" customFormat="1" ht="34.9" hidden="1" customHeight="1">
      <c r="B267" s="15">
        <v>45445</v>
      </c>
      <c r="C267" s="11">
        <v>4770.33</v>
      </c>
      <c r="D267" s="10">
        <v>1022.5</v>
      </c>
      <c r="E267" s="10">
        <v>1485.3</v>
      </c>
      <c r="F267" s="10">
        <v>57.32</v>
      </c>
      <c r="G267" s="10">
        <v>5540.81</v>
      </c>
      <c r="H267" s="10">
        <v>1394.81</v>
      </c>
      <c r="I267" s="10">
        <v>3661.2</v>
      </c>
      <c r="J267" s="10">
        <v>5199.3599999999997</v>
      </c>
      <c r="K267" s="10">
        <v>855.67</v>
      </c>
      <c r="L267" s="10">
        <v>956.65</v>
      </c>
      <c r="M267" s="10">
        <v>1189.53</v>
      </c>
      <c r="N267" s="10">
        <v>1162.42</v>
      </c>
      <c r="O267" s="11">
        <v>2393.5300000000002</v>
      </c>
      <c r="P267" s="10">
        <f t="shared" si="18"/>
        <v>-0.36299302737016603</v>
      </c>
    </row>
    <row r="268" spans="2:16" s="8" customFormat="1" ht="34.9" hidden="1" customHeight="1">
      <c r="B268" s="14">
        <v>45474</v>
      </c>
      <c r="C268" s="7">
        <v>4807.76</v>
      </c>
      <c r="D268" s="6">
        <v>1051.93</v>
      </c>
      <c r="E268" s="6">
        <v>1578.68</v>
      </c>
      <c r="F268" s="6">
        <v>57.32</v>
      </c>
      <c r="G268" s="6">
        <v>5540.81</v>
      </c>
      <c r="H268" s="6">
        <v>1387.44</v>
      </c>
      <c r="I268" s="6">
        <v>2745.9</v>
      </c>
      <c r="J268" s="6">
        <v>5197.17</v>
      </c>
      <c r="K268" s="6">
        <v>942.6</v>
      </c>
      <c r="L268" s="6">
        <v>1005.71</v>
      </c>
      <c r="M268" s="6">
        <v>1177.75</v>
      </c>
      <c r="N268" s="6">
        <v>1162.42</v>
      </c>
      <c r="O268" s="7">
        <v>2407.09</v>
      </c>
      <c r="P268" s="6">
        <f t="shared" si="18"/>
        <v>0.56652726308004731</v>
      </c>
    </row>
    <row r="269" spans="2:16" s="8" customFormat="1" ht="34.9" hidden="1" customHeight="1">
      <c r="B269" s="15">
        <v>45506</v>
      </c>
      <c r="C269" s="11">
        <v>4890.18</v>
      </c>
      <c r="D269" s="10">
        <v>1029.76</v>
      </c>
      <c r="E269" s="10">
        <v>1583.39</v>
      </c>
      <c r="F269" s="10">
        <v>57.32</v>
      </c>
      <c r="G269" s="10">
        <v>5540.81</v>
      </c>
      <c r="H269" s="10">
        <v>1399.99</v>
      </c>
      <c r="I269" s="10">
        <v>2237.4</v>
      </c>
      <c r="J269" s="10">
        <v>5341.73</v>
      </c>
      <c r="K269" s="10">
        <v>883.67</v>
      </c>
      <c r="L269" s="10">
        <v>1128.3499999999999</v>
      </c>
      <c r="M269" s="10">
        <v>1165.98</v>
      </c>
      <c r="N269" s="10">
        <v>1162.42</v>
      </c>
      <c r="O269" s="11">
        <v>2413.14</v>
      </c>
      <c r="P269" s="10">
        <f>O269/O268*100-100</f>
        <v>0.25134083062950197</v>
      </c>
    </row>
    <row r="270" spans="2:16" s="8" customFormat="1" ht="34.9" hidden="1" customHeight="1">
      <c r="B270" s="14">
        <v>45538</v>
      </c>
      <c r="C270" s="7">
        <v>4792.63</v>
      </c>
      <c r="D270" s="6">
        <v>1008.54</v>
      </c>
      <c r="E270" s="6">
        <v>1575.82</v>
      </c>
      <c r="F270" s="6">
        <v>57.32</v>
      </c>
      <c r="G270" s="6">
        <v>5540.81</v>
      </c>
      <c r="H270" s="6">
        <v>1360.21</v>
      </c>
      <c r="I270" s="6">
        <v>1627.2</v>
      </c>
      <c r="J270" s="6">
        <v>5221.7</v>
      </c>
      <c r="K270" s="6">
        <v>900.5</v>
      </c>
      <c r="L270" s="6">
        <v>1103.82</v>
      </c>
      <c r="M270" s="6">
        <v>1160.0899999999999</v>
      </c>
      <c r="N270" s="6">
        <v>1162.42</v>
      </c>
      <c r="O270" s="7">
        <v>2374</v>
      </c>
      <c r="P270" s="6">
        <f>O270/O269*100-100</f>
        <v>-1.6219531398924119</v>
      </c>
    </row>
    <row r="271" spans="2:16" s="8" customFormat="1" ht="34.9" hidden="1" customHeight="1">
      <c r="B271" s="15">
        <v>45570</v>
      </c>
      <c r="C271" s="11">
        <v>5006.41</v>
      </c>
      <c r="D271" s="10">
        <v>1018.18</v>
      </c>
      <c r="E271" s="10">
        <v>1640.04</v>
      </c>
      <c r="F271" s="10">
        <v>57.32</v>
      </c>
      <c r="G271" s="10">
        <v>5540.81</v>
      </c>
      <c r="H271" s="10">
        <v>1360.03</v>
      </c>
      <c r="I271" s="10">
        <v>1627.2</v>
      </c>
      <c r="J271" s="10">
        <v>5514.67</v>
      </c>
      <c r="K271" s="10">
        <v>889.53</v>
      </c>
      <c r="L271" s="10">
        <v>1201.94</v>
      </c>
      <c r="M271" s="10">
        <v>1183.6400000000001</v>
      </c>
      <c r="N271" s="10">
        <v>1162.42</v>
      </c>
      <c r="O271" s="11">
        <v>2406.02</v>
      </c>
      <c r="P271" s="10">
        <f>O271/O270*100-100</f>
        <v>1.3487784330244352</v>
      </c>
    </row>
    <row r="272" spans="2:16" s="8" customFormat="1" ht="34.9" hidden="1" customHeight="1">
      <c r="B272" s="14">
        <v>45599</v>
      </c>
      <c r="C272" s="7">
        <v>5264.33</v>
      </c>
      <c r="D272" s="6">
        <v>1012.75</v>
      </c>
      <c r="E272" s="6">
        <v>1717.69</v>
      </c>
      <c r="F272" s="6">
        <v>57.32</v>
      </c>
      <c r="G272" s="6">
        <v>5540.81</v>
      </c>
      <c r="H272" s="6">
        <v>1378.58</v>
      </c>
      <c r="I272" s="6">
        <v>1728.9</v>
      </c>
      <c r="J272" s="6">
        <v>5843.81</v>
      </c>
      <c r="K272" s="6">
        <v>908.21</v>
      </c>
      <c r="L272" s="6">
        <v>1471.77</v>
      </c>
      <c r="M272" s="6">
        <v>1189.53</v>
      </c>
      <c r="N272" s="6">
        <v>1162.42</v>
      </c>
      <c r="O272" s="7">
        <v>2420.12</v>
      </c>
      <c r="P272" s="6">
        <f>O272/O271*100-100</f>
        <v>0.58603004131303749</v>
      </c>
    </row>
    <row r="273" spans="2:16" s="8" customFormat="1" ht="34.5" hidden="1" customHeight="1">
      <c r="B273" s="60">
        <v>45628</v>
      </c>
      <c r="C273" s="62">
        <v>5531.31</v>
      </c>
      <c r="D273" s="61">
        <v>1011.21</v>
      </c>
      <c r="E273" s="61">
        <v>1589.68</v>
      </c>
      <c r="F273" s="61">
        <v>57.32</v>
      </c>
      <c r="G273" s="61">
        <v>5540.81</v>
      </c>
      <c r="H273" s="61">
        <v>1408.69</v>
      </c>
      <c r="I273" s="61">
        <v>1423.8</v>
      </c>
      <c r="J273" s="61">
        <v>6280.7</v>
      </c>
      <c r="K273" s="61">
        <v>896.98</v>
      </c>
      <c r="L273" s="61">
        <v>1422.71</v>
      </c>
      <c r="M273" s="61">
        <v>1189.53</v>
      </c>
      <c r="N273" s="61">
        <v>1162.42</v>
      </c>
      <c r="O273" s="62">
        <v>2488.7600000000002</v>
      </c>
      <c r="P273" s="61">
        <f>O273/O272*100-100</f>
        <v>2.836222997206761</v>
      </c>
    </row>
    <row r="274" spans="2:16" s="8" customFormat="1" ht="34.9" customHeight="1">
      <c r="B274" s="3">
        <v>2025</v>
      </c>
      <c r="C274" s="93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3"/>
      <c r="P274" s="94"/>
    </row>
    <row r="275" spans="2:16" s="8" customFormat="1" ht="34.9" hidden="1" customHeight="1">
      <c r="B275" s="14">
        <v>45658</v>
      </c>
      <c r="C275" s="7">
        <v>5996.44</v>
      </c>
      <c r="D275" s="6">
        <v>1040.5</v>
      </c>
      <c r="E275" s="6">
        <v>1724.1</v>
      </c>
      <c r="F275" s="6">
        <v>57.3</v>
      </c>
      <c r="G275" s="6">
        <v>5540.8</v>
      </c>
      <c r="H275" s="6">
        <v>1403.8</v>
      </c>
      <c r="I275" s="6">
        <v>1322.1</v>
      </c>
      <c r="J275" s="6">
        <v>6935.5</v>
      </c>
      <c r="K275" s="6">
        <v>892.3</v>
      </c>
      <c r="L275" s="6">
        <v>1545.4</v>
      </c>
      <c r="M275" s="6">
        <v>1177.8</v>
      </c>
      <c r="N275" s="6">
        <v>1162.4000000000001</v>
      </c>
      <c r="O275" s="7">
        <v>2615.8000000000002</v>
      </c>
      <c r="P275" s="6">
        <f>O275/O273*100-100</f>
        <v>5.1045500570565281</v>
      </c>
    </row>
    <row r="276" spans="2:16" s="8" customFormat="1" ht="34.9" hidden="1" customHeight="1">
      <c r="B276" s="15">
        <v>45689</v>
      </c>
      <c r="C276" s="11">
        <v>5833.56</v>
      </c>
      <c r="D276" s="10">
        <v>1040.49</v>
      </c>
      <c r="E276" s="10">
        <v>1714.88</v>
      </c>
      <c r="F276" s="10">
        <v>57.32</v>
      </c>
      <c r="G276" s="10">
        <v>5540.81</v>
      </c>
      <c r="H276" s="10">
        <v>1408.46</v>
      </c>
      <c r="I276" s="10">
        <v>1017</v>
      </c>
      <c r="J276" s="10">
        <v>6715.72</v>
      </c>
      <c r="K276" s="10">
        <v>821.57</v>
      </c>
      <c r="L276" s="10">
        <v>1520.82</v>
      </c>
      <c r="M276" s="10">
        <v>1242.53</v>
      </c>
      <c r="N276" s="10">
        <v>1162.42</v>
      </c>
      <c r="O276" s="11">
        <v>2592.54</v>
      </c>
      <c r="P276" s="10">
        <f>O276/O275*100-100</f>
        <v>-0.88921171343375249</v>
      </c>
    </row>
    <row r="277" spans="2:16" s="8" customFormat="1" ht="34.9" hidden="1" customHeight="1">
      <c r="B277" s="14">
        <v>45717</v>
      </c>
      <c r="C277" s="7">
        <v>6250.91</v>
      </c>
      <c r="D277" s="6">
        <v>1033.5999999999999</v>
      </c>
      <c r="E277" s="6">
        <v>1699.88</v>
      </c>
      <c r="F277" s="6">
        <v>57.32</v>
      </c>
      <c r="G277" s="6">
        <v>5540.81</v>
      </c>
      <c r="H277" s="6">
        <v>1398.59</v>
      </c>
      <c r="I277" s="6">
        <v>813.6</v>
      </c>
      <c r="J277" s="6">
        <v>7414.12</v>
      </c>
      <c r="K277" s="6">
        <v>775.25</v>
      </c>
      <c r="L277" s="6">
        <v>1373.65</v>
      </c>
      <c r="M277" s="6">
        <v>1189.53</v>
      </c>
      <c r="N277" s="6">
        <v>1162.42</v>
      </c>
      <c r="O277" s="7">
        <v>2640.95</v>
      </c>
      <c r="P277" s="6">
        <f>O277/O276*100-100</f>
        <v>1.8672807362663661</v>
      </c>
    </row>
    <row r="278" spans="2:16" s="8" customFormat="1" ht="34.9" hidden="1" customHeight="1">
      <c r="B278" s="15">
        <v>45748</v>
      </c>
      <c r="C278" s="11">
        <v>5774.16</v>
      </c>
      <c r="D278" s="10">
        <v>988.33</v>
      </c>
      <c r="E278" s="10">
        <v>1743.97</v>
      </c>
      <c r="F278" s="10">
        <v>57.32</v>
      </c>
      <c r="G278" s="10">
        <v>5540.81</v>
      </c>
      <c r="H278" s="10">
        <v>1366.99</v>
      </c>
      <c r="I278" s="10">
        <v>711.9</v>
      </c>
      <c r="J278" s="10">
        <v>6631.52</v>
      </c>
      <c r="K278" s="10">
        <v>856.12</v>
      </c>
      <c r="L278" s="10">
        <v>1741.59</v>
      </c>
      <c r="M278" s="10">
        <v>1124.75</v>
      </c>
      <c r="N278" s="10">
        <v>1162.42</v>
      </c>
      <c r="O278" s="11">
        <v>2493.09</v>
      </c>
      <c r="P278" s="10">
        <f t="shared" ref="P278" si="19">O278/O277*100-100</f>
        <v>-5.5987428766163561</v>
      </c>
    </row>
    <row r="279" spans="2:16" s="8" customFormat="1" ht="34.9" hidden="1" customHeight="1">
      <c r="B279" s="14">
        <v>45778</v>
      </c>
      <c r="C279" s="7">
        <v>6239.85</v>
      </c>
      <c r="D279" s="6">
        <v>987.36</v>
      </c>
      <c r="E279" s="6">
        <v>1805.11</v>
      </c>
      <c r="F279" s="6">
        <v>57.32</v>
      </c>
      <c r="G279" s="6">
        <v>5540.81</v>
      </c>
      <c r="H279" s="6">
        <v>1366.05</v>
      </c>
      <c r="I279" s="6">
        <v>711.9</v>
      </c>
      <c r="J279" s="6">
        <v>7301.94</v>
      </c>
      <c r="K279" s="6">
        <v>796.1</v>
      </c>
      <c r="L279" s="6">
        <v>2256.71</v>
      </c>
      <c r="M279" s="6">
        <v>1165.98</v>
      </c>
      <c r="N279" s="6">
        <v>1162.42</v>
      </c>
      <c r="O279" s="7">
        <v>2659.71</v>
      </c>
      <c r="P279" s="6">
        <f t="shared" ref="P279:P285" si="20">O279/O278*100-100</f>
        <v>6.6832725653706859</v>
      </c>
    </row>
    <row r="280" spans="2:16" s="8" customFormat="1" ht="34.9" hidden="1" customHeight="1">
      <c r="B280" s="15">
        <v>45810</v>
      </c>
      <c r="C280" s="11">
        <v>6890.68</v>
      </c>
      <c r="D280" s="10">
        <v>998.51</v>
      </c>
      <c r="E280" s="10">
        <v>1745.52</v>
      </c>
      <c r="F280" s="10">
        <v>57.32</v>
      </c>
      <c r="G280" s="10">
        <v>5540.81</v>
      </c>
      <c r="H280" s="10">
        <v>1373.33</v>
      </c>
      <c r="I280" s="10">
        <v>711.9</v>
      </c>
      <c r="J280" s="10">
        <v>8334.57</v>
      </c>
      <c r="K280" s="10">
        <v>776.18</v>
      </c>
      <c r="L280" s="10">
        <v>2207.65</v>
      </c>
      <c r="M280" s="10">
        <v>1142.42</v>
      </c>
      <c r="N280" s="10">
        <v>1162.42</v>
      </c>
      <c r="O280" s="11">
        <v>2777.45</v>
      </c>
      <c r="P280" s="10">
        <f t="shared" si="20"/>
        <v>4.4267984103530011</v>
      </c>
    </row>
    <row r="281" spans="2:16" s="8" customFormat="1" ht="34.9" hidden="1" customHeight="1">
      <c r="B281" s="14">
        <v>45863</v>
      </c>
      <c r="C281" s="7">
        <v>7470.4</v>
      </c>
      <c r="D281" s="6">
        <v>980.72</v>
      </c>
      <c r="E281" s="6">
        <v>1728.8</v>
      </c>
      <c r="F281" s="6">
        <v>57.32</v>
      </c>
      <c r="G281" s="6">
        <v>5540.81</v>
      </c>
      <c r="H281" s="6">
        <v>1333.02</v>
      </c>
      <c r="I281" s="6">
        <v>711.9</v>
      </c>
      <c r="J281" s="6">
        <v>9284.76</v>
      </c>
      <c r="K281" s="6">
        <v>767.18</v>
      </c>
      <c r="L281" s="6">
        <v>2158.59</v>
      </c>
      <c r="M281" s="6">
        <v>1242.53</v>
      </c>
      <c r="N281" s="6">
        <v>1162.42</v>
      </c>
      <c r="O281" s="7">
        <v>2914.79</v>
      </c>
      <c r="P281" s="6">
        <f t="shared" si="20"/>
        <v>4.9448234891717391</v>
      </c>
    </row>
    <row r="282" spans="2:16" s="8" customFormat="1" ht="34.9" hidden="1" customHeight="1">
      <c r="B282" s="15">
        <v>45894</v>
      </c>
      <c r="C282" s="11">
        <v>7661.01</v>
      </c>
      <c r="D282" s="10">
        <v>1030.67</v>
      </c>
      <c r="E282" s="10">
        <v>1728.19</v>
      </c>
      <c r="F282" s="10">
        <v>57.32</v>
      </c>
      <c r="G282" s="10">
        <v>5540.81</v>
      </c>
      <c r="H282" s="10">
        <v>1307.31</v>
      </c>
      <c r="I282" s="10">
        <v>711.9</v>
      </c>
      <c r="J282" s="10">
        <v>9551.9</v>
      </c>
      <c r="K282" s="10">
        <v>782.45</v>
      </c>
      <c r="L282" s="10">
        <v>2256.71</v>
      </c>
      <c r="M282" s="10">
        <v>1224.8599999999999</v>
      </c>
      <c r="N282" s="10">
        <v>1162.42</v>
      </c>
      <c r="O282" s="11">
        <v>2974.35</v>
      </c>
      <c r="P282" s="10">
        <f t="shared" si="20"/>
        <v>2.0433719067239906</v>
      </c>
    </row>
    <row r="283" spans="2:16" s="8" customFormat="1" ht="34.9" customHeight="1">
      <c r="B283" s="14">
        <v>45925</v>
      </c>
      <c r="C283" s="7">
        <v>7885.2</v>
      </c>
      <c r="D283" s="6">
        <v>1020.88</v>
      </c>
      <c r="E283" s="6">
        <v>1769.69</v>
      </c>
      <c r="F283" s="6">
        <v>57.32</v>
      </c>
      <c r="G283" s="6">
        <v>5540.81</v>
      </c>
      <c r="H283" s="6">
        <v>1311.94</v>
      </c>
      <c r="I283" s="6">
        <v>711.9</v>
      </c>
      <c r="J283" s="6">
        <v>9885.36</v>
      </c>
      <c r="K283" s="6">
        <v>833.04</v>
      </c>
      <c r="L283" s="6">
        <v>2085</v>
      </c>
      <c r="M283" s="6">
        <v>1260.2</v>
      </c>
      <c r="N283" s="6">
        <v>1162.42</v>
      </c>
      <c r="O283" s="7">
        <v>3033.21</v>
      </c>
      <c r="P283" s="6">
        <f t="shared" si="20"/>
        <v>1.9789197639820628</v>
      </c>
    </row>
    <row r="284" spans="2:16" s="8" customFormat="1" ht="34.9" customHeight="1">
      <c r="B284" s="15">
        <v>45955</v>
      </c>
      <c r="C284" s="11">
        <v>8328.15</v>
      </c>
      <c r="D284" s="10">
        <v>1019.47</v>
      </c>
      <c r="E284" s="10">
        <v>1753.51</v>
      </c>
      <c r="F284" s="10">
        <v>57.32</v>
      </c>
      <c r="G284" s="10">
        <v>5540.81</v>
      </c>
      <c r="H284" s="10">
        <v>1389.33</v>
      </c>
      <c r="I284" s="10">
        <v>711.9</v>
      </c>
      <c r="J284" s="10">
        <v>10469.59</v>
      </c>
      <c r="K284" s="10">
        <v>824.75</v>
      </c>
      <c r="L284" s="10">
        <v>2575.59</v>
      </c>
      <c r="M284" s="10">
        <v>1525.19</v>
      </c>
      <c r="N284" s="10">
        <v>1162.42</v>
      </c>
      <c r="O284" s="11">
        <v>3318.1</v>
      </c>
      <c r="P284" s="10">
        <f t="shared" si="20"/>
        <v>9.3923599091391594</v>
      </c>
    </row>
    <row r="285" spans="2:16" s="8" customFormat="1" ht="34.9" customHeight="1">
      <c r="B285" s="14">
        <v>45986</v>
      </c>
      <c r="C285" s="7">
        <v>8553.4599999999991</v>
      </c>
      <c r="D285" s="6">
        <v>998.47</v>
      </c>
      <c r="E285" s="6">
        <v>1777.59</v>
      </c>
      <c r="F285" s="6">
        <v>57.32</v>
      </c>
      <c r="G285" s="6">
        <v>5540.81</v>
      </c>
      <c r="H285" s="6">
        <v>1365.49</v>
      </c>
      <c r="I285" s="6">
        <v>806.82</v>
      </c>
      <c r="J285" s="6">
        <v>10773.89</v>
      </c>
      <c r="K285" s="6">
        <v>839.94</v>
      </c>
      <c r="L285" s="6">
        <v>2943.53</v>
      </c>
      <c r="M285" s="6">
        <v>1672.41</v>
      </c>
      <c r="N285" s="6">
        <v>1162.42</v>
      </c>
      <c r="O285" s="7">
        <v>3433.68</v>
      </c>
      <c r="P285" s="6">
        <f t="shared" si="20"/>
        <v>3.4833187667641141</v>
      </c>
    </row>
    <row r="286" spans="2:16" s="8" customFormat="1" ht="34.9" customHeight="1">
      <c r="B286" s="60">
        <v>46016</v>
      </c>
      <c r="C286" s="62">
        <v>8872.85</v>
      </c>
      <c r="D286" s="61">
        <v>1060.7</v>
      </c>
      <c r="E286" s="61">
        <v>1831.72</v>
      </c>
      <c r="F286" s="61">
        <v>57.32</v>
      </c>
      <c r="G286" s="61">
        <v>5540.81</v>
      </c>
      <c r="H286" s="61">
        <v>1385.65</v>
      </c>
      <c r="I286" s="61">
        <v>854.28</v>
      </c>
      <c r="J286" s="61">
        <v>11134.79</v>
      </c>
      <c r="K286" s="61">
        <v>927.6</v>
      </c>
      <c r="L286" s="61">
        <v>3115.24</v>
      </c>
      <c r="M286" s="61">
        <v>1690.08</v>
      </c>
      <c r="N286" s="61">
        <v>1162.42</v>
      </c>
      <c r="O286" s="62">
        <v>3611.62</v>
      </c>
      <c r="P286" s="61">
        <f>O286/O285*100-100</f>
        <v>5.1821951958248746</v>
      </c>
    </row>
    <row r="287" spans="2:16" s="8" customFormat="1" ht="34.9" customHeight="1">
      <c r="B287" s="3">
        <v>2026</v>
      </c>
      <c r="C287" s="93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3"/>
      <c r="P287" s="94"/>
    </row>
    <row r="288" spans="2:16" s="8" customFormat="1" ht="34.9" customHeight="1">
      <c r="B288" s="14">
        <v>46023</v>
      </c>
      <c r="C288" s="7">
        <v>8882.58</v>
      </c>
      <c r="D288" s="6">
        <v>1065.8900000000001</v>
      </c>
      <c r="E288" s="6">
        <v>2067.46</v>
      </c>
      <c r="F288" s="6">
        <v>57.32</v>
      </c>
      <c r="G288" s="6">
        <v>5540.81</v>
      </c>
      <c r="H288" s="6">
        <v>1358.41</v>
      </c>
      <c r="I288" s="6">
        <v>711.9</v>
      </c>
      <c r="J288" s="6">
        <v>11091.53</v>
      </c>
      <c r="K288" s="6">
        <v>950.32</v>
      </c>
      <c r="L288" s="6">
        <v>2992.59</v>
      </c>
      <c r="M288" s="6">
        <v>1637.08</v>
      </c>
      <c r="N288" s="6">
        <v>1162.42</v>
      </c>
      <c r="O288" s="7">
        <v>3531.1</v>
      </c>
      <c r="P288" s="6">
        <f>O288/O286*100-100</f>
        <v>-2.2294704315514906</v>
      </c>
    </row>
    <row r="289" spans="2:16" s="8" customFormat="1" ht="34.9" customHeight="1">
      <c r="B289" s="15">
        <v>46054</v>
      </c>
      <c r="C289" s="11">
        <v>9402.7199999999993</v>
      </c>
      <c r="D289" s="10">
        <v>1087.18</v>
      </c>
      <c r="E289" s="10">
        <v>2259.2800000000002</v>
      </c>
      <c r="F289" s="10">
        <v>57.32</v>
      </c>
      <c r="G289" s="10">
        <v>5540.81</v>
      </c>
      <c r="H289" s="10">
        <v>1354.39</v>
      </c>
      <c r="I289" s="10">
        <v>427.14</v>
      </c>
      <c r="J289" s="10">
        <v>11904.83</v>
      </c>
      <c r="K289" s="10">
        <v>930.97</v>
      </c>
      <c r="L289" s="10">
        <v>2919</v>
      </c>
      <c r="M289" s="10">
        <v>1578.19</v>
      </c>
      <c r="N289" s="10">
        <v>1162.42</v>
      </c>
      <c r="O289" s="11">
        <v>3598.78</v>
      </c>
      <c r="P289" s="10">
        <f>O289/O288*100-100</f>
        <v>1.916683186542457</v>
      </c>
    </row>
    <row r="290" spans="2:16" s="8" customFormat="1" ht="34.9" customHeight="1">
      <c r="B290" s="14">
        <v>46082</v>
      </c>
      <c r="C290" s="7">
        <v>10007.799999999999</v>
      </c>
      <c r="D290" s="6">
        <v>1071.22</v>
      </c>
      <c r="E290" s="6">
        <v>2294.88</v>
      </c>
      <c r="F290" s="6">
        <v>57.32</v>
      </c>
      <c r="G290" s="6">
        <v>5540.81</v>
      </c>
      <c r="H290" s="6">
        <v>1356.01</v>
      </c>
      <c r="I290" s="6">
        <v>427.14</v>
      </c>
      <c r="J290" s="6">
        <v>12945.51</v>
      </c>
      <c r="K290" s="6">
        <v>896.45</v>
      </c>
      <c r="L290" s="6">
        <v>2796.36</v>
      </c>
      <c r="M290" s="6">
        <v>1531.08</v>
      </c>
      <c r="N290" s="6">
        <v>1162.42</v>
      </c>
      <c r="O290" s="7">
        <v>3641.25</v>
      </c>
      <c r="P290" s="6">
        <f>O290/O289*100-100</f>
        <v>1.1801221525072236</v>
      </c>
    </row>
    <row r="291" spans="2:16" s="8" customFormat="1" ht="34.9" customHeight="1">
      <c r="B291" s="15">
        <v>46113</v>
      </c>
      <c r="C291" s="11">
        <v>10389.57</v>
      </c>
      <c r="D291" s="10">
        <v>1104.49</v>
      </c>
      <c r="E291" s="10">
        <v>2619.9299999999998</v>
      </c>
      <c r="F291" s="10">
        <v>57.32</v>
      </c>
      <c r="G291" s="10">
        <v>5540.81</v>
      </c>
      <c r="H291" s="10">
        <v>1320.95</v>
      </c>
      <c r="I291" s="10">
        <v>522.05999999999995</v>
      </c>
      <c r="J291" s="10">
        <v>13253.42</v>
      </c>
      <c r="K291" s="10">
        <v>939.86</v>
      </c>
      <c r="L291" s="10">
        <v>3630.36</v>
      </c>
      <c r="M291" s="10">
        <v>1589.97</v>
      </c>
      <c r="N291" s="10">
        <v>1162.42</v>
      </c>
      <c r="O291" s="11">
        <v>3932.35</v>
      </c>
      <c r="P291" s="10">
        <f t="shared" ref="P291:P294" si="21">O291/O290*100-100</f>
        <v>7.9945073807071765</v>
      </c>
    </row>
    <row r="292" spans="2:16" s="8" customFormat="1" ht="34.9" customHeight="1">
      <c r="B292" s="14">
        <v>46143</v>
      </c>
      <c r="C292" s="7">
        <v>10856.82</v>
      </c>
      <c r="D292" s="6">
        <v>1052.17</v>
      </c>
      <c r="E292" s="6">
        <v>2821.28</v>
      </c>
      <c r="F292" s="6">
        <v>57.32</v>
      </c>
      <c r="G292" s="6">
        <v>5540.81</v>
      </c>
      <c r="H292" s="6">
        <v>1360.87</v>
      </c>
      <c r="I292" s="6">
        <v>569.52</v>
      </c>
      <c r="J292" s="6">
        <v>13921.09</v>
      </c>
      <c r="K292" s="6">
        <v>965.85</v>
      </c>
      <c r="L292" s="6">
        <v>3924.71</v>
      </c>
      <c r="M292" s="6">
        <v>1695.97</v>
      </c>
      <c r="N292" s="6">
        <v>1162.42</v>
      </c>
      <c r="O292" s="7">
        <v>4068.49</v>
      </c>
      <c r="P292" s="6">
        <f t="shared" si="21"/>
        <v>3.462051953666375</v>
      </c>
    </row>
    <row r="293" spans="2:16" s="8" customFormat="1" ht="34.5" customHeight="1">
      <c r="B293" s="15">
        <v>46175</v>
      </c>
      <c r="C293" s="11">
        <v>9579.17</v>
      </c>
      <c r="D293" s="10">
        <v>1032.99</v>
      </c>
      <c r="E293" s="10">
        <v>2402.41</v>
      </c>
      <c r="F293" s="10">
        <v>57.32</v>
      </c>
      <c r="G293" s="10">
        <v>5540.81</v>
      </c>
      <c r="H293" s="11">
        <v>1341.55</v>
      </c>
      <c r="I293" s="10">
        <v>569.52</v>
      </c>
      <c r="J293" s="10">
        <v>11978.81</v>
      </c>
      <c r="K293" s="10">
        <v>906</v>
      </c>
      <c r="L293" s="10">
        <v>3875.65</v>
      </c>
      <c r="M293" s="10">
        <v>1648.86</v>
      </c>
      <c r="N293" s="10">
        <v>1162.42</v>
      </c>
      <c r="O293" s="11">
        <v>3855.69</v>
      </c>
      <c r="P293" s="10">
        <f t="shared" si="21"/>
        <v>-5.2304417609481533</v>
      </c>
    </row>
    <row r="294" spans="2:16" s="8" customFormat="1" ht="34.9" customHeight="1">
      <c r="B294" s="14">
        <v>46229</v>
      </c>
      <c r="C294" s="7">
        <v>9660.1200000000008</v>
      </c>
      <c r="D294" s="6">
        <v>1058.17</v>
      </c>
      <c r="E294" s="6">
        <v>2802.27</v>
      </c>
      <c r="F294" s="6">
        <v>57.32</v>
      </c>
      <c r="G294" s="6">
        <v>5540.81</v>
      </c>
      <c r="H294" s="6">
        <v>1307.48</v>
      </c>
      <c r="I294" s="6">
        <v>569.52</v>
      </c>
      <c r="J294" s="6">
        <v>11744.3</v>
      </c>
      <c r="K294" s="6">
        <v>945.64</v>
      </c>
      <c r="L294" s="6">
        <v>4758.71</v>
      </c>
      <c r="M294" s="6">
        <v>1678.3</v>
      </c>
      <c r="N294" s="6">
        <v>1162.42</v>
      </c>
      <c r="O294" s="7">
        <v>3996.13</v>
      </c>
      <c r="P294" s="6">
        <f t="shared" si="21"/>
        <v>3.6424090110978966</v>
      </c>
    </row>
    <row r="295" spans="2:16" s="8" customFormat="1" ht="34.9" customHeight="1">
      <c r="B295" s="15">
        <v>46252</v>
      </c>
      <c r="C295" s="11">
        <v>10340.59</v>
      </c>
      <c r="D295" s="10">
        <v>1085.74</v>
      </c>
      <c r="E295" s="10">
        <v>2912.11</v>
      </c>
      <c r="F295" s="10">
        <v>57.32</v>
      </c>
      <c r="G295" s="10">
        <v>5540.81</v>
      </c>
      <c r="H295" s="10">
        <v>1342.86</v>
      </c>
      <c r="I295" s="10">
        <v>569.52</v>
      </c>
      <c r="J295" s="10">
        <v>12718.38</v>
      </c>
      <c r="K295" s="10">
        <v>1055.21</v>
      </c>
      <c r="L295" s="10">
        <v>4905.8900000000003</v>
      </c>
      <c r="M295" s="10">
        <v>1672.41</v>
      </c>
      <c r="N295" s="10">
        <v>1162.42</v>
      </c>
      <c r="O295" s="11">
        <v>4000.27</v>
      </c>
      <c r="P295" s="10">
        <f>O295/O294*100-100</f>
        <v>0.10360023322564871</v>
      </c>
    </row>
    <row r="296" spans="2:16" s="8" customFormat="1" ht="34.9" customHeight="1">
      <c r="B296" s="155">
        <v>46266</v>
      </c>
      <c r="C296" s="157">
        <v>10756.17</v>
      </c>
      <c r="D296" s="156">
        <v>1083.98</v>
      </c>
      <c r="E296" s="156">
        <v>2993.69</v>
      </c>
      <c r="F296" s="156">
        <v>57.32</v>
      </c>
      <c r="G296" s="156">
        <v>5540.81</v>
      </c>
      <c r="H296" s="156">
        <v>1347.78</v>
      </c>
      <c r="I296" s="156">
        <v>569.52</v>
      </c>
      <c r="J296" s="156">
        <v>13147.7</v>
      </c>
      <c r="K296" s="156">
        <v>1168.52</v>
      </c>
      <c r="L296" s="156">
        <v>5788.95</v>
      </c>
      <c r="M296" s="156">
        <v>1678.3</v>
      </c>
      <c r="N296" s="156">
        <v>1162.42</v>
      </c>
      <c r="O296" s="157">
        <v>4190.7299999999996</v>
      </c>
      <c r="P296" s="156">
        <f>O296/O295*100-100</f>
        <v>4.7611786204431183</v>
      </c>
    </row>
    <row r="297" spans="2:16" s="8" customFormat="1" ht="10.15" customHeight="1">
      <c r="B297" s="71"/>
      <c r="C297" s="73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3"/>
      <c r="P297" s="73"/>
    </row>
    <row r="298" spans="2:16" s="87" customFormat="1" ht="30" customHeight="1">
      <c r="B298" s="78" t="s">
        <v>67</v>
      </c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194" t="s">
        <v>93</v>
      </c>
      <c r="O298" s="194"/>
      <c r="P298" s="194"/>
    </row>
    <row r="299" spans="2:16" s="82" customFormat="1" ht="66" customHeight="1">
      <c r="B299" s="165" t="s">
        <v>148</v>
      </c>
      <c r="C299" s="165"/>
      <c r="D299" s="165"/>
      <c r="E299" s="165"/>
      <c r="F299" s="165"/>
      <c r="G299" s="165"/>
      <c r="H299" s="4"/>
      <c r="I299" s="142"/>
      <c r="J299" s="141"/>
      <c r="K299" s="178" t="s">
        <v>152</v>
      </c>
      <c r="L299" s="178"/>
      <c r="M299" s="178"/>
      <c r="N299" s="178"/>
      <c r="O299" s="178"/>
      <c r="P299" s="178"/>
    </row>
    <row r="300" spans="2:16" ht="15.7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83" spans="2:12"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</row>
  </sheetData>
  <sortState ref="B268:P294">
    <sortCondition descending="1" ref="B268"/>
  </sortState>
  <mergeCells count="16">
    <mergeCell ref="B299:G299"/>
    <mergeCell ref="K299:P299"/>
    <mergeCell ref="B2:D2"/>
    <mergeCell ref="N2:P2"/>
    <mergeCell ref="N298:P298"/>
    <mergeCell ref="C7:N7"/>
    <mergeCell ref="C6:N6"/>
    <mergeCell ref="O9:O10"/>
    <mergeCell ref="O7:O8"/>
    <mergeCell ref="P7:P8"/>
    <mergeCell ref="P9:P10"/>
    <mergeCell ref="E2:M2"/>
    <mergeCell ref="O3:P3"/>
    <mergeCell ref="O4:P4"/>
    <mergeCell ref="D3:N3"/>
    <mergeCell ref="D4:N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87"/>
  <sheetViews>
    <sheetView rightToLeft="1" zoomScale="40" zoomScaleNormal="40" workbookViewId="0">
      <selection activeCell="A370" sqref="A370:XFD370"/>
    </sheetView>
  </sheetViews>
  <sheetFormatPr defaultColWidth="9.140625" defaultRowHeight="15.75"/>
  <cols>
    <col min="1" max="1" width="10.7109375" style="1" customWidth="1"/>
    <col min="2" max="2" width="22.7109375" style="1" customWidth="1"/>
    <col min="3" max="12" width="35.7109375" style="1" customWidth="1"/>
    <col min="13" max="16384" width="9.140625" style="1"/>
  </cols>
  <sheetData>
    <row r="1" spans="2:16" customFormat="1" ht="18" customHeight="1"/>
    <row r="2" spans="2:16" customFormat="1" ht="15.75" customHeight="1"/>
    <row r="3" spans="2:16" s="82" customFormat="1" ht="40.15" customHeight="1">
      <c r="B3" s="166" t="s">
        <v>130</v>
      </c>
      <c r="C3" s="166"/>
      <c r="D3" s="168" t="s">
        <v>103</v>
      </c>
      <c r="E3" s="168"/>
      <c r="F3" s="168"/>
      <c r="G3" s="168"/>
      <c r="H3" s="168"/>
      <c r="I3" s="168"/>
      <c r="J3" s="168"/>
      <c r="K3" s="167" t="s">
        <v>106</v>
      </c>
      <c r="L3" s="167"/>
      <c r="M3" s="84"/>
      <c r="N3" s="203"/>
      <c r="O3" s="203"/>
      <c r="P3" s="203"/>
    </row>
    <row r="4" spans="2:16" s="82" customFormat="1" ht="40.15" customHeight="1">
      <c r="B4" s="63"/>
      <c r="C4" s="63"/>
      <c r="D4" s="209" t="s">
        <v>165</v>
      </c>
      <c r="E4" s="209"/>
      <c r="F4" s="209"/>
      <c r="G4" s="209"/>
      <c r="H4" s="209"/>
      <c r="I4" s="209"/>
      <c r="J4" s="209"/>
      <c r="K4" s="191" t="s">
        <v>132</v>
      </c>
      <c r="L4" s="191"/>
      <c r="M4" s="84"/>
      <c r="N4" s="64"/>
      <c r="O4" s="64"/>
      <c r="P4" s="64"/>
    </row>
    <row r="5" spans="2:16" s="105" customFormat="1" ht="40.15" customHeight="1">
      <c r="B5" s="21"/>
      <c r="C5" s="85"/>
      <c r="D5" s="169" t="s">
        <v>136</v>
      </c>
      <c r="E5" s="169"/>
      <c r="F5" s="169"/>
      <c r="G5" s="169"/>
      <c r="H5" s="169"/>
      <c r="I5" s="169"/>
      <c r="J5" s="169"/>
      <c r="K5" s="192" t="s">
        <v>131</v>
      </c>
      <c r="L5" s="192"/>
    </row>
    <row r="6" spans="2:16" s="104" customFormat="1" ht="10.15" customHeight="1">
      <c r="B6" s="21"/>
      <c r="C6" s="67"/>
      <c r="D6" s="67"/>
      <c r="E6" s="67"/>
      <c r="F6" s="67"/>
      <c r="G6" s="67"/>
      <c r="H6" s="67"/>
      <c r="I6" s="67"/>
      <c r="J6" s="67"/>
      <c r="K6" s="88"/>
      <c r="L6" s="88"/>
    </row>
    <row r="7" spans="2:16" ht="89.25" customHeight="1">
      <c r="B7" s="206"/>
      <c r="C7" s="186" t="s">
        <v>66</v>
      </c>
      <c r="D7" s="186"/>
      <c r="E7" s="186" t="s">
        <v>65</v>
      </c>
      <c r="F7" s="186"/>
      <c r="G7" s="186" t="s">
        <v>64</v>
      </c>
      <c r="H7" s="186"/>
      <c r="I7" s="186" t="s">
        <v>63</v>
      </c>
      <c r="J7" s="186"/>
      <c r="K7" s="186" t="s">
        <v>62</v>
      </c>
      <c r="L7" s="188"/>
      <c r="M7"/>
      <c r="N7"/>
    </row>
    <row r="8" spans="2:16" ht="89.25" customHeight="1">
      <c r="B8" s="207"/>
      <c r="C8" s="204" t="s">
        <v>61</v>
      </c>
      <c r="D8" s="204"/>
      <c r="E8" s="204" t="s">
        <v>60</v>
      </c>
      <c r="F8" s="204"/>
      <c r="G8" s="204" t="s">
        <v>59</v>
      </c>
      <c r="H8" s="204"/>
      <c r="I8" s="204" t="s">
        <v>58</v>
      </c>
      <c r="J8" s="204"/>
      <c r="K8" s="204" t="s">
        <v>57</v>
      </c>
      <c r="L8" s="205"/>
    </row>
    <row r="9" spans="2:16" ht="38.25" customHeight="1">
      <c r="B9" s="207"/>
      <c r="C9" s="97" t="s">
        <v>56</v>
      </c>
      <c r="D9" s="97" t="s">
        <v>55</v>
      </c>
      <c r="E9" s="97" t="s">
        <v>56</v>
      </c>
      <c r="F9" s="97" t="s">
        <v>55</v>
      </c>
      <c r="G9" s="97" t="s">
        <v>56</v>
      </c>
      <c r="H9" s="97" t="s">
        <v>55</v>
      </c>
      <c r="I9" s="97" t="s">
        <v>56</v>
      </c>
      <c r="J9" s="97" t="s">
        <v>55</v>
      </c>
      <c r="K9" s="97" t="s">
        <v>56</v>
      </c>
      <c r="L9" s="98" t="s">
        <v>55</v>
      </c>
    </row>
    <row r="10" spans="2:16" ht="38.25" customHeight="1">
      <c r="B10" s="208"/>
      <c r="C10" s="99" t="s">
        <v>54</v>
      </c>
      <c r="D10" s="99" t="s">
        <v>53</v>
      </c>
      <c r="E10" s="99" t="s">
        <v>54</v>
      </c>
      <c r="F10" s="99" t="s">
        <v>53</v>
      </c>
      <c r="G10" s="99" t="s">
        <v>54</v>
      </c>
      <c r="H10" s="99" t="s">
        <v>53</v>
      </c>
      <c r="I10" s="99" t="s">
        <v>54</v>
      </c>
      <c r="J10" s="99" t="s">
        <v>53</v>
      </c>
      <c r="K10" s="99" t="s">
        <v>54</v>
      </c>
      <c r="L10" s="100" t="s">
        <v>53</v>
      </c>
    </row>
    <row r="11" spans="2:16" ht="40.15" customHeight="1">
      <c r="B11" s="101" t="s">
        <v>79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2:16" s="18" customFormat="1" ht="34.9" hidden="1" customHeight="1">
      <c r="B12" s="5">
        <v>2000</v>
      </c>
      <c r="C12" s="7">
        <v>1987.3</v>
      </c>
      <c r="D12" s="7">
        <v>-21.119491861849944</v>
      </c>
      <c r="E12" s="7">
        <v>1197.4000000000001</v>
      </c>
      <c r="F12" s="7">
        <v>-3.2336297493936947</v>
      </c>
      <c r="G12" s="7">
        <v>998.1</v>
      </c>
      <c r="H12" s="7">
        <v>-9.7649186256781171</v>
      </c>
      <c r="I12" s="7">
        <v>751.5</v>
      </c>
      <c r="J12" s="7">
        <v>-21.829521829521827</v>
      </c>
      <c r="K12" s="7">
        <v>1330.5</v>
      </c>
      <c r="L12" s="7">
        <v>-20.489844683393077</v>
      </c>
    </row>
    <row r="13" spans="2:16" s="18" customFormat="1" ht="34.9" hidden="1" customHeight="1">
      <c r="B13" s="9">
        <v>2001</v>
      </c>
      <c r="C13" s="11">
        <v>2752</v>
      </c>
      <c r="D13" s="11">
        <v>38.500251635631599</v>
      </c>
      <c r="E13" s="11">
        <v>1332</v>
      </c>
      <c r="F13" s="11">
        <v>11.278195488721799</v>
      </c>
      <c r="G13" s="11">
        <v>1093.9000000000001</v>
      </c>
      <c r="H13" s="11">
        <v>9.6192384769539174</v>
      </c>
      <c r="I13" s="11">
        <v>917.2</v>
      </c>
      <c r="J13" s="11">
        <v>21.941489361702125</v>
      </c>
      <c r="K13" s="11">
        <v>1727.2</v>
      </c>
      <c r="L13" s="11">
        <v>29.752066115702469</v>
      </c>
    </row>
    <row r="14" spans="2:16" s="18" customFormat="1" ht="34.9" hidden="1" customHeight="1">
      <c r="B14" s="5">
        <v>2002</v>
      </c>
      <c r="C14" s="7">
        <v>2556.6</v>
      </c>
      <c r="D14" s="7">
        <v>-7.0857558139534866</v>
      </c>
      <c r="E14" s="7">
        <v>1499.3</v>
      </c>
      <c r="F14" s="7">
        <v>12.537537537537499</v>
      </c>
      <c r="G14" s="7">
        <v>1060.2</v>
      </c>
      <c r="H14" s="7">
        <v>-3.1078610603290757</v>
      </c>
      <c r="I14" s="7">
        <v>1016.1</v>
      </c>
      <c r="J14" s="7">
        <v>10.796074154852775</v>
      </c>
      <c r="K14" s="7">
        <v>1700.2</v>
      </c>
      <c r="L14" s="7">
        <v>-1.5634047481181135</v>
      </c>
    </row>
    <row r="15" spans="2:16" s="18" customFormat="1" ht="34.9" hidden="1" customHeight="1">
      <c r="B15" s="9">
        <v>2003</v>
      </c>
      <c r="C15" s="11">
        <v>4433.6000000000004</v>
      </c>
      <c r="D15" s="11">
        <v>73.400000000000006</v>
      </c>
      <c r="E15" s="11">
        <v>2287.6</v>
      </c>
      <c r="F15" s="11">
        <v>52.6</v>
      </c>
      <c r="G15" s="11">
        <v>1266.7</v>
      </c>
      <c r="H15" s="11">
        <v>19.5</v>
      </c>
      <c r="I15" s="11">
        <v>1481.6</v>
      </c>
      <c r="J15" s="11">
        <v>45.9</v>
      </c>
      <c r="K15" s="11">
        <v>2614.5</v>
      </c>
      <c r="L15" s="11">
        <v>53.8</v>
      </c>
    </row>
    <row r="16" spans="2:16" s="18" customFormat="1" ht="34.9" hidden="1" customHeight="1">
      <c r="B16" s="5">
        <v>2004</v>
      </c>
      <c r="C16" s="7">
        <v>7230.9</v>
      </c>
      <c r="D16" s="7">
        <v>63.078484438430294</v>
      </c>
      <c r="E16" s="7">
        <v>3726.9</v>
      </c>
      <c r="F16" s="7">
        <v>62.888986013986028</v>
      </c>
      <c r="G16" s="7">
        <v>1874.4</v>
      </c>
      <c r="H16" s="7">
        <v>47.940015785319659</v>
      </c>
      <c r="I16" s="7">
        <v>2526.9</v>
      </c>
      <c r="J16" s="7">
        <v>70.512820512820511</v>
      </c>
      <c r="K16" s="7">
        <v>4245.6000000000004</v>
      </c>
      <c r="L16" s="7">
        <v>62.355640535372856</v>
      </c>
    </row>
    <row r="17" spans="2:12" s="18" customFormat="1" ht="34.9" hidden="1" customHeight="1">
      <c r="B17" s="9">
        <v>2005</v>
      </c>
      <c r="C17" s="11">
        <v>16892</v>
      </c>
      <c r="D17" s="11">
        <v>133.60854112212866</v>
      </c>
      <c r="E17" s="11">
        <v>7382.4</v>
      </c>
      <c r="F17" s="11">
        <v>98.084198663768802</v>
      </c>
      <c r="G17" s="11">
        <v>3332.5</v>
      </c>
      <c r="H17" s="11">
        <v>77.790226205719165</v>
      </c>
      <c r="I17" s="11">
        <v>2903.4</v>
      </c>
      <c r="J17" s="11">
        <v>14.89967944912739</v>
      </c>
      <c r="K17" s="11">
        <v>8191.5</v>
      </c>
      <c r="L17" s="11">
        <v>92.940927077444869</v>
      </c>
    </row>
    <row r="18" spans="2:12" s="18" customFormat="1" ht="34.9" hidden="1" customHeight="1">
      <c r="B18" s="5">
        <v>2006</v>
      </c>
      <c r="C18" s="7">
        <v>10704.7</v>
      </c>
      <c r="D18" s="7">
        <v>-36.628581577077902</v>
      </c>
      <c r="E18" s="7">
        <v>4156.3</v>
      </c>
      <c r="F18" s="7">
        <v>-43.699880797572597</v>
      </c>
      <c r="G18" s="7">
        <v>2286.6</v>
      </c>
      <c r="H18" s="7">
        <v>-31.38484621155289</v>
      </c>
      <c r="I18" s="7">
        <v>2507.6</v>
      </c>
      <c r="J18" s="7">
        <v>-13.632293173520708</v>
      </c>
      <c r="K18" s="7">
        <v>5518.1</v>
      </c>
      <c r="L18" s="7">
        <v>-32.636269303546356</v>
      </c>
    </row>
    <row r="19" spans="2:12" s="18" customFormat="1" ht="34.9" hidden="1" customHeight="1">
      <c r="B19" s="9">
        <v>2007</v>
      </c>
      <c r="C19" s="11">
        <v>13886.7</v>
      </c>
      <c r="D19" s="11">
        <v>29.725260866722092</v>
      </c>
      <c r="E19" s="11">
        <v>4900.3999999999996</v>
      </c>
      <c r="F19" s="11">
        <v>17.902942520992205</v>
      </c>
      <c r="G19" s="11">
        <v>2740.3</v>
      </c>
      <c r="H19" s="11">
        <v>19.841686346540733</v>
      </c>
      <c r="I19" s="11">
        <v>4565.5</v>
      </c>
      <c r="J19" s="11">
        <v>82.06651778593077</v>
      </c>
      <c r="K19" s="11">
        <v>7519.3</v>
      </c>
      <c r="L19" s="11">
        <v>36.266106087240168</v>
      </c>
    </row>
    <row r="20" spans="2:12" s="18" customFormat="1" ht="34.9" hidden="1" customHeight="1">
      <c r="B20" s="5">
        <v>2008</v>
      </c>
      <c r="C20" s="7">
        <v>11380.1</v>
      </c>
      <c r="D20" s="7">
        <v>-18.050364737482631</v>
      </c>
      <c r="E20" s="7">
        <v>3821.3</v>
      </c>
      <c r="F20" s="7">
        <v>-22.020651375397918</v>
      </c>
      <c r="G20" s="7">
        <v>1865.6</v>
      </c>
      <c r="H20" s="7">
        <v>-31.919862788745768</v>
      </c>
      <c r="I20" s="7">
        <v>4560.1000000000004</v>
      </c>
      <c r="J20" s="7">
        <v>-0.11827839228999314</v>
      </c>
      <c r="K20" s="7">
        <v>6243.1</v>
      </c>
      <c r="L20" s="7">
        <v>-16.972324551487503</v>
      </c>
    </row>
    <row r="21" spans="2:12" s="18" customFormat="1" ht="34.9" hidden="1" customHeight="1">
      <c r="B21" s="9">
        <v>2009</v>
      </c>
      <c r="C21" s="11">
        <v>9368</v>
      </c>
      <c r="D21" s="11">
        <v>-17.7</v>
      </c>
      <c r="E21" s="11">
        <v>3943.6</v>
      </c>
      <c r="F21" s="11">
        <v>3.2</v>
      </c>
      <c r="G21" s="11">
        <v>1700.6</v>
      </c>
      <c r="H21" s="11">
        <v>-8.8000000000000007</v>
      </c>
      <c r="I21" s="11">
        <v>4563.2</v>
      </c>
      <c r="J21" s="11">
        <v>0.1</v>
      </c>
      <c r="K21" s="11">
        <v>5520.1</v>
      </c>
      <c r="L21" s="11">
        <v>-11.580785186846278</v>
      </c>
    </row>
    <row r="22" spans="2:12" s="18" customFormat="1" ht="34.9" hidden="1" customHeight="1">
      <c r="B22" s="5">
        <v>2010</v>
      </c>
      <c r="C22" s="7">
        <v>8848.2999999999993</v>
      </c>
      <c r="D22" s="7">
        <v>-5.5476088812980437</v>
      </c>
      <c r="E22" s="7">
        <v>2103.5</v>
      </c>
      <c r="F22" s="7">
        <v>-46.660411806471238</v>
      </c>
      <c r="G22" s="7">
        <v>1506.4</v>
      </c>
      <c r="H22" s="7">
        <v>-11.419499000352806</v>
      </c>
      <c r="I22" s="7">
        <v>4841.7</v>
      </c>
      <c r="J22" s="7">
        <v>6.1031732117812068</v>
      </c>
      <c r="K22" s="7">
        <v>5318</v>
      </c>
      <c r="L22" s="7">
        <v>-3.6611655585949596</v>
      </c>
    </row>
    <row r="23" spans="2:12" s="18" customFormat="1" ht="34.9" hidden="1" customHeight="1">
      <c r="B23" s="9">
        <v>2011</v>
      </c>
      <c r="C23" s="11">
        <v>7542.3</v>
      </c>
      <c r="D23" s="11">
        <v>-14.759897381417892</v>
      </c>
      <c r="E23" s="11">
        <v>1703.7</v>
      </c>
      <c r="F23" s="11">
        <v>-19.006417874970285</v>
      </c>
      <c r="G23" s="11">
        <v>1302.0999999999999</v>
      </c>
      <c r="H23" s="11">
        <v>-13.562134891131187</v>
      </c>
      <c r="I23" s="11">
        <v>4427.3999999999996</v>
      </c>
      <c r="J23" s="11">
        <v>-8.5569118284899979</v>
      </c>
      <c r="K23" s="11">
        <v>4648.3999999999996</v>
      </c>
      <c r="L23" s="11">
        <v>-12.59119969913502</v>
      </c>
    </row>
    <row r="24" spans="2:12" s="18" customFormat="1" ht="34.9" hidden="1" customHeight="1">
      <c r="B24" s="5">
        <v>2012</v>
      </c>
      <c r="C24" s="7">
        <v>7297.3646745222804</v>
      </c>
      <c r="D24" s="7">
        <v>2.3203675990582706</v>
      </c>
      <c r="E24" s="7">
        <v>1251.0307566255822</v>
      </c>
      <c r="F24" s="7">
        <v>-2.3225237004486976</v>
      </c>
      <c r="G24" s="7">
        <v>1240.3888111042536</v>
      </c>
      <c r="H24" s="7">
        <v>0.28982101132204452</v>
      </c>
      <c r="I24" s="7">
        <v>4606.364542849954</v>
      </c>
      <c r="J24" s="7">
        <v>-2.1443864733773021</v>
      </c>
      <c r="K24" s="7">
        <v>4593.945989906776</v>
      </c>
      <c r="L24" s="7">
        <v>-1.1714570624994318</v>
      </c>
    </row>
    <row r="25" spans="2:12" s="18" customFormat="1" ht="34.9" hidden="1" customHeight="1">
      <c r="B25" s="9">
        <v>2013</v>
      </c>
      <c r="C25" s="11">
        <v>8035.2</v>
      </c>
      <c r="D25" s="11">
        <v>10.110983325991185</v>
      </c>
      <c r="E25" s="11">
        <v>1214.0999999999999</v>
      </c>
      <c r="F25" s="11">
        <v>-2.9520262735343139</v>
      </c>
      <c r="G25" s="11">
        <v>1255.0999999999999</v>
      </c>
      <c r="H25" s="11">
        <v>1.1860143177726545</v>
      </c>
      <c r="I25" s="11">
        <v>3210.4</v>
      </c>
      <c r="J25" s="11">
        <v>-30.305125221076658</v>
      </c>
      <c r="K25" s="11">
        <v>4336.7</v>
      </c>
      <c r="L25" s="11">
        <v>-5.5996737983416427</v>
      </c>
    </row>
    <row r="26" spans="2:12" s="18" customFormat="1" ht="34.9" hidden="1" customHeight="1">
      <c r="B26" s="5">
        <v>2014</v>
      </c>
      <c r="C26" s="7">
        <v>8373</v>
      </c>
      <c r="D26" s="7">
        <v>4.204002389486261</v>
      </c>
      <c r="E26" s="7">
        <v>1337.7</v>
      </c>
      <c r="F26" s="7">
        <v>10.18038052878676</v>
      </c>
      <c r="G26" s="7">
        <v>1211.2</v>
      </c>
      <c r="H26" s="7">
        <v>-3.4977292646004243</v>
      </c>
      <c r="I26" s="7">
        <v>2691.3</v>
      </c>
      <c r="J26" s="7">
        <v>-16.16932469474208</v>
      </c>
      <c r="K26" s="7">
        <v>4237.6000000000004</v>
      </c>
      <c r="L26" s="7">
        <v>-2.2851476929462322</v>
      </c>
    </row>
    <row r="27" spans="2:12" s="18" customFormat="1" ht="34.9" hidden="1" customHeight="1">
      <c r="B27" s="9">
        <v>2015</v>
      </c>
      <c r="C27" s="11">
        <v>8463.7081734238291</v>
      </c>
      <c r="D27" s="11">
        <v>1.0833413761355493</v>
      </c>
      <c r="E27" s="11">
        <v>1369.6384198667622</v>
      </c>
      <c r="F27" s="11">
        <v>2.3875622237244709</v>
      </c>
      <c r="G27" s="11">
        <v>1141.0435128476345</v>
      </c>
      <c r="H27" s="11">
        <v>-5.7923123474542209</v>
      </c>
      <c r="I27" s="11">
        <v>2731.1872294926593</v>
      </c>
      <c r="J27" s="11">
        <v>1.4820803883869971</v>
      </c>
      <c r="K27" s="11">
        <v>4229.8985014843811</v>
      </c>
      <c r="L27" s="11">
        <v>-0.18174198875824388</v>
      </c>
    </row>
    <row r="28" spans="2:12" s="18" customFormat="1" ht="34.9" hidden="1" customHeight="1">
      <c r="B28" s="5">
        <v>2016</v>
      </c>
      <c r="C28" s="7">
        <v>8444.4586464647746</v>
      </c>
      <c r="D28" s="7">
        <v>-0.22743609024113987</v>
      </c>
      <c r="E28" s="7">
        <v>1385.4375279846693</v>
      </c>
      <c r="F28" s="7">
        <v>1.1535240169039618</v>
      </c>
      <c r="G28" s="7">
        <v>954.49598590808739</v>
      </c>
      <c r="H28" s="7">
        <v>-16.348853031379274</v>
      </c>
      <c r="I28" s="7">
        <v>2648.6565739859716</v>
      </c>
      <c r="J28" s="7">
        <v>-3.0217868118114555</v>
      </c>
      <c r="K28" s="7">
        <v>4069.7225241496649</v>
      </c>
      <c r="L28" s="7">
        <v>-3.7867569937790724</v>
      </c>
    </row>
    <row r="29" spans="2:12" s="18" customFormat="1" ht="34.9" hidden="1" customHeight="1">
      <c r="B29" s="9">
        <v>2017</v>
      </c>
      <c r="C29" s="11">
        <v>8335.2075633321838</v>
      </c>
      <c r="D29" s="11">
        <v>-1.2937606506999488</v>
      </c>
      <c r="E29" s="11">
        <v>1261.2365307485024</v>
      </c>
      <c r="F29" s="11">
        <v>-8.9647490216925299</v>
      </c>
      <c r="G29" s="11">
        <v>933.72517301051164</v>
      </c>
      <c r="H29" s="11">
        <v>-2.176102697573401</v>
      </c>
      <c r="I29" s="11">
        <v>2615.8493709279396</v>
      </c>
      <c r="J29" s="11">
        <v>-1.2386355928605819</v>
      </c>
      <c r="K29" s="11">
        <v>4009.4376736046602</v>
      </c>
      <c r="L29" s="11">
        <v>-1.4813012481139753</v>
      </c>
    </row>
    <row r="30" spans="2:12" s="18" customFormat="1" ht="34.9" hidden="1" customHeight="1">
      <c r="B30" s="5">
        <v>2018</v>
      </c>
      <c r="C30" s="7">
        <v>8245.9753973740189</v>
      </c>
      <c r="D30" s="7">
        <v>-1.0705452177425134</v>
      </c>
      <c r="E30" s="7">
        <v>1376.5080733196182</v>
      </c>
      <c r="F30" s="7">
        <v>9.1395657960133612</v>
      </c>
      <c r="G30" s="7">
        <v>796.81909851759804</v>
      </c>
      <c r="H30" s="7">
        <v>-14.66235231203008</v>
      </c>
      <c r="I30" s="7">
        <v>2311.3684513671355</v>
      </c>
      <c r="J30" s="7">
        <v>-11.639849103879907</v>
      </c>
      <c r="K30" s="7">
        <v>3797.0892427555327</v>
      </c>
      <c r="L30" s="7">
        <v>-5.2962147846088552</v>
      </c>
    </row>
    <row r="31" spans="2:12" s="18" customFormat="1" ht="34.9" hidden="1" customHeight="1">
      <c r="B31" s="9">
        <v>2019</v>
      </c>
      <c r="C31" s="11">
        <v>7095.6458588667792</v>
      </c>
      <c r="D31" s="11">
        <v>-13.950193677191535</v>
      </c>
      <c r="E31" s="11">
        <v>1282.5082787281942</v>
      </c>
      <c r="F31" s="11">
        <v>-6.8288589375819608</v>
      </c>
      <c r="G31" s="11">
        <v>735.73319286472645</v>
      </c>
      <c r="H31" s="11">
        <v>-7.6662200700906569</v>
      </c>
      <c r="I31" s="11">
        <v>2613.1626543063044</v>
      </c>
      <c r="J31" s="11">
        <v>13.056949131613461</v>
      </c>
      <c r="K31" s="11">
        <v>3513.7610656378256</v>
      </c>
      <c r="L31" s="11">
        <v>-7.4617202547522137</v>
      </c>
    </row>
    <row r="32" spans="2:12" s="18" customFormat="1" ht="34.9" hidden="1" customHeight="1">
      <c r="B32" s="5" t="s">
        <v>141</v>
      </c>
      <c r="C32" s="7">
        <v>5410.6412094494262</v>
      </c>
      <c r="D32" s="7">
        <v>-23.747022933955432</v>
      </c>
      <c r="E32" s="7">
        <v>1309.1805290632385</v>
      </c>
      <c r="F32" s="7">
        <v>2.0796942037281774</v>
      </c>
      <c r="G32" s="7">
        <v>704.24351651232905</v>
      </c>
      <c r="H32" s="7">
        <v>-4.2800401908993591</v>
      </c>
      <c r="I32" s="7">
        <v>2818.0249936027922</v>
      </c>
      <c r="J32" s="7">
        <v>7.8396321391968948</v>
      </c>
      <c r="K32" s="7">
        <v>3049.574583213036</v>
      </c>
      <c r="L32" s="7">
        <v>-13.210530646611552</v>
      </c>
    </row>
    <row r="33" spans="2:12" s="18" customFormat="1" ht="34.9" customHeight="1">
      <c r="B33" s="9">
        <v>2021</v>
      </c>
      <c r="C33" s="11">
        <v>6566.3725669025489</v>
      </c>
      <c r="D33" s="11">
        <v>21.360339980309419</v>
      </c>
      <c r="E33" s="11">
        <v>1328.3496128329086</v>
      </c>
      <c r="F33" s="11">
        <v>1.4642047711621808</v>
      </c>
      <c r="G33" s="11">
        <v>782.37513604242156</v>
      </c>
      <c r="H33" s="11">
        <v>11.094403810350828</v>
      </c>
      <c r="I33" s="11">
        <v>4700.4878105064408</v>
      </c>
      <c r="J33" s="11">
        <v>66.800784988672348</v>
      </c>
      <c r="K33" s="11">
        <v>4005.2714181200786</v>
      </c>
      <c r="L33" s="11">
        <v>31.33869360558872</v>
      </c>
    </row>
    <row r="34" spans="2:12" s="18" customFormat="1" ht="34.9" customHeight="1">
      <c r="B34" s="5">
        <v>2022</v>
      </c>
      <c r="C34" s="7">
        <v>6753.66</v>
      </c>
      <c r="D34" s="7">
        <v>2.8522206315472198</v>
      </c>
      <c r="E34" s="7">
        <v>1331.66</v>
      </c>
      <c r="F34" s="7">
        <v>0.24921053426827378</v>
      </c>
      <c r="G34" s="7">
        <v>852.07</v>
      </c>
      <c r="H34" s="7">
        <v>8.9081133521348832</v>
      </c>
      <c r="I34" s="7">
        <v>6882.07</v>
      </c>
      <c r="J34" s="7">
        <v>46.411825270928865</v>
      </c>
      <c r="K34" s="7">
        <v>4730.37</v>
      </c>
      <c r="L34" s="7">
        <v>18.103606626994949</v>
      </c>
    </row>
    <row r="35" spans="2:12" s="18" customFormat="1" ht="34.9" customHeight="1">
      <c r="B35" s="9">
        <v>2023</v>
      </c>
      <c r="C35" s="11">
        <v>6735.62</v>
      </c>
      <c r="D35" s="11">
        <v>-0.26711442388275941</v>
      </c>
      <c r="E35" s="11">
        <v>1284.93</v>
      </c>
      <c r="F35" s="11">
        <v>-3.5091539882552638</v>
      </c>
      <c r="G35" s="11">
        <v>878.63</v>
      </c>
      <c r="H35" s="11">
        <v>3.1171147910382899</v>
      </c>
      <c r="I35" s="11">
        <v>5706.68</v>
      </c>
      <c r="J35" s="11">
        <v>-17.079018376738389</v>
      </c>
      <c r="K35" s="11">
        <v>4416.32</v>
      </c>
      <c r="L35" s="11">
        <v>-6.639015552694616</v>
      </c>
    </row>
    <row r="36" spans="2:12" s="18" customFormat="1" ht="34.9" customHeight="1">
      <c r="B36" s="5">
        <v>2024</v>
      </c>
      <c r="C36" s="7">
        <v>6553.27</v>
      </c>
      <c r="D36" s="7">
        <f>C36/C35*100-100</f>
        <v>-2.7072489243751789</v>
      </c>
      <c r="E36" s="7">
        <v>1376.04</v>
      </c>
      <c r="F36" s="7">
        <f>E36/E35*100-100</f>
        <v>7.0906586351007377</v>
      </c>
      <c r="G36" s="7">
        <v>863.65</v>
      </c>
      <c r="H36" s="7">
        <f>G36/G35*100-100</f>
        <v>-1.7049269886072693</v>
      </c>
      <c r="I36" s="7">
        <v>6739.07</v>
      </c>
      <c r="J36" s="7">
        <f>I36/I35*100-100</f>
        <v>18.090903993214951</v>
      </c>
      <c r="K36" s="7">
        <v>4633.5600000000004</v>
      </c>
      <c r="L36" s="7">
        <f>K36/K35*100-100</f>
        <v>4.919027606695181</v>
      </c>
    </row>
    <row r="37" spans="2:12" s="18" customFormat="1" ht="34.9" customHeight="1">
      <c r="B37" s="9">
        <v>2025</v>
      </c>
      <c r="C37" s="11">
        <v>9443.64</v>
      </c>
      <c r="D37" s="11">
        <f>C37/C36*100-100</f>
        <v>44.105767044544166</v>
      </c>
      <c r="E37" s="11">
        <v>1783.24</v>
      </c>
      <c r="F37" s="11">
        <f>E37/E36*100-100</f>
        <v>29.592163018516914</v>
      </c>
      <c r="G37" s="11">
        <v>1087.75</v>
      </c>
      <c r="H37" s="11">
        <f>G37/G36*100-100</f>
        <v>25.948011347189251</v>
      </c>
      <c r="I37" s="11">
        <v>11403.03</v>
      </c>
      <c r="J37" s="11">
        <f>I37/I36*100-100</f>
        <v>69.207769024509332</v>
      </c>
      <c r="K37" s="11">
        <v>7056.03</v>
      </c>
      <c r="L37" s="11">
        <f>K37/K36*100-100</f>
        <v>52.280967549788897</v>
      </c>
    </row>
    <row r="38" spans="2:12" s="18" customFormat="1" ht="34.9" hidden="1" customHeight="1">
      <c r="B38" s="3">
        <v>2000</v>
      </c>
      <c r="C38" s="96"/>
      <c r="D38" s="96"/>
      <c r="E38" s="93"/>
      <c r="F38" s="93"/>
      <c r="G38" s="93"/>
      <c r="H38" s="93"/>
      <c r="I38" s="93"/>
      <c r="J38" s="93"/>
      <c r="K38" s="93"/>
      <c r="L38" s="93"/>
    </row>
    <row r="39" spans="2:12" s="18" customFormat="1" ht="34.9" hidden="1" customHeight="1">
      <c r="B39" s="14">
        <v>36526</v>
      </c>
      <c r="C39" s="7">
        <v>244.3</v>
      </c>
      <c r="D39" s="7">
        <v>-3</v>
      </c>
      <c r="E39" s="7">
        <v>122.9</v>
      </c>
      <c r="F39" s="7" t="s">
        <v>89</v>
      </c>
      <c r="G39" s="7">
        <v>112.3</v>
      </c>
      <c r="H39" s="7">
        <v>1.5</v>
      </c>
      <c r="I39" s="7">
        <v>93</v>
      </c>
      <c r="J39" s="7">
        <v>-3.3</v>
      </c>
      <c r="K39" s="7">
        <v>162.6</v>
      </c>
      <c r="L39" s="7">
        <v>-2.9</v>
      </c>
    </row>
    <row r="40" spans="2:12" s="18" customFormat="1" ht="34.9" hidden="1" customHeight="1">
      <c r="B40" s="15">
        <v>36557</v>
      </c>
      <c r="C40" s="11">
        <v>239.7</v>
      </c>
      <c r="D40" s="11">
        <v>-1.9</v>
      </c>
      <c r="E40" s="11">
        <v>124.4</v>
      </c>
      <c r="F40" s="11">
        <v>1.2205044751830707</v>
      </c>
      <c r="G40" s="11">
        <v>111.1</v>
      </c>
      <c r="H40" s="11">
        <v>-1.1000000000000001</v>
      </c>
      <c r="I40" s="11">
        <v>90.4</v>
      </c>
      <c r="J40" s="11">
        <v>-2.8</v>
      </c>
      <c r="K40" s="11">
        <v>159.30000000000001</v>
      </c>
      <c r="L40" s="11">
        <v>-2</v>
      </c>
    </row>
    <row r="41" spans="2:12" s="18" customFormat="1" ht="34.9" hidden="1" customHeight="1">
      <c r="B41" s="14">
        <v>36586</v>
      </c>
      <c r="C41" s="7">
        <v>230.1</v>
      </c>
      <c r="D41" s="7">
        <v>-5.8125255832992329</v>
      </c>
      <c r="E41" s="7">
        <v>122.4</v>
      </c>
      <c r="F41" s="7">
        <v>-1.6077170418006381</v>
      </c>
      <c r="G41" s="7">
        <v>106.1</v>
      </c>
      <c r="H41" s="7">
        <v>-5.5209260908281372</v>
      </c>
      <c r="I41" s="7">
        <v>87.9</v>
      </c>
      <c r="J41" s="7">
        <v>-5.4838709677419324</v>
      </c>
      <c r="K41" s="7">
        <v>153.6</v>
      </c>
      <c r="L41" s="7">
        <v>-5.5350553505535078</v>
      </c>
    </row>
    <row r="42" spans="2:12" s="18" customFormat="1" ht="34.9" hidden="1" customHeight="1">
      <c r="B42" s="15">
        <v>36617</v>
      </c>
      <c r="C42" s="11">
        <v>218.6</v>
      </c>
      <c r="D42" s="11">
        <v>-5</v>
      </c>
      <c r="E42" s="11">
        <v>120.2</v>
      </c>
      <c r="F42" s="11">
        <v>-1.7973856209150374</v>
      </c>
      <c r="G42" s="11">
        <v>103.4</v>
      </c>
      <c r="H42" s="11">
        <v>-2.5</v>
      </c>
      <c r="I42" s="11">
        <v>84.4</v>
      </c>
      <c r="J42" s="11">
        <v>-4</v>
      </c>
      <c r="K42" s="11">
        <v>146.5</v>
      </c>
      <c r="L42" s="11">
        <v>-4.5999999999999996</v>
      </c>
    </row>
    <row r="43" spans="2:12" s="18" customFormat="1" ht="34.9" hidden="1" customHeight="1">
      <c r="B43" s="14">
        <v>36647</v>
      </c>
      <c r="C43" s="7">
        <v>224.8</v>
      </c>
      <c r="D43" s="7">
        <v>2.8</v>
      </c>
      <c r="E43" s="7">
        <v>114.8</v>
      </c>
      <c r="F43" s="7">
        <v>-4.4925124792013378</v>
      </c>
      <c r="G43" s="7">
        <v>102.5</v>
      </c>
      <c r="H43" s="7">
        <v>-0.9</v>
      </c>
      <c r="I43" s="7">
        <v>82</v>
      </c>
      <c r="J43" s="7">
        <v>-2.8</v>
      </c>
      <c r="K43" s="7">
        <v>147.69999999999999</v>
      </c>
      <c r="L43" s="7">
        <v>0.8</v>
      </c>
    </row>
    <row r="44" spans="2:12" s="18" customFormat="1" ht="34.9" hidden="1" customHeight="1">
      <c r="B44" s="15">
        <v>36678</v>
      </c>
      <c r="C44" s="11">
        <v>212.2</v>
      </c>
      <c r="D44" s="11">
        <v>-5.6049822064057064</v>
      </c>
      <c r="E44" s="11">
        <v>114.8</v>
      </c>
      <c r="F44" s="11">
        <v>0</v>
      </c>
      <c r="G44" s="11">
        <v>108.8</v>
      </c>
      <c r="H44" s="11">
        <v>6.1463414634146396</v>
      </c>
      <c r="I44" s="11">
        <v>82.5</v>
      </c>
      <c r="J44" s="11">
        <v>0.60975609756097615</v>
      </c>
      <c r="K44" s="11">
        <v>143.19999999999999</v>
      </c>
      <c r="L44" s="11">
        <v>-3.0467163168584999</v>
      </c>
    </row>
    <row r="45" spans="2:12" s="18" customFormat="1" ht="34.9" hidden="1" customHeight="1">
      <c r="B45" s="14">
        <v>36708</v>
      </c>
      <c r="C45" s="7">
        <v>211.4</v>
      </c>
      <c r="D45" s="7">
        <v>-0.37700282752120007</v>
      </c>
      <c r="E45" s="7">
        <v>117.8</v>
      </c>
      <c r="F45" s="7">
        <v>2.6132404181184565</v>
      </c>
      <c r="G45" s="7">
        <v>101.9</v>
      </c>
      <c r="H45" s="7">
        <v>-6.3419117647058769</v>
      </c>
      <c r="I45" s="7">
        <v>76.099999999999994</v>
      </c>
      <c r="J45" s="7">
        <v>-7.7575757575757631</v>
      </c>
      <c r="K45" s="7">
        <v>139</v>
      </c>
      <c r="L45" s="7">
        <v>-2.9329608938547413</v>
      </c>
    </row>
    <row r="46" spans="2:12" s="18" customFormat="1" ht="34.9" hidden="1" customHeight="1">
      <c r="B46" s="15">
        <v>36739</v>
      </c>
      <c r="C46" s="11">
        <v>202.5</v>
      </c>
      <c r="D46" s="11">
        <v>-4.2100283822138156</v>
      </c>
      <c r="E46" s="11">
        <v>117.4</v>
      </c>
      <c r="F46" s="11">
        <v>-0.33955857385398192</v>
      </c>
      <c r="G46" s="11">
        <v>98.4</v>
      </c>
      <c r="H46" s="11">
        <v>-3.4347399411187474</v>
      </c>
      <c r="I46" s="11">
        <v>75.2</v>
      </c>
      <c r="J46" s="11">
        <v>-1.1826544021024898</v>
      </c>
      <c r="K46" s="11">
        <v>134.5</v>
      </c>
      <c r="L46" s="11">
        <v>-3.2374100719424481</v>
      </c>
    </row>
    <row r="47" spans="2:12" s="18" customFormat="1" ht="34.9" hidden="1" customHeight="1">
      <c r="B47" s="14">
        <v>36770</v>
      </c>
      <c r="C47" s="7">
        <v>197.5</v>
      </c>
      <c r="D47" s="7">
        <v>-2.4691358024691357</v>
      </c>
      <c r="E47" s="7">
        <v>120</v>
      </c>
      <c r="F47" s="7">
        <v>2.2146507666098714</v>
      </c>
      <c r="G47" s="7">
        <v>99</v>
      </c>
      <c r="H47" s="7">
        <v>0.60975609756097615</v>
      </c>
      <c r="I47" s="7">
        <v>75.5</v>
      </c>
      <c r="J47" s="7">
        <v>0.39893617021276029</v>
      </c>
      <c r="K47" s="7">
        <v>132.69999999999999</v>
      </c>
      <c r="L47" s="7">
        <v>-1.3382899628252898</v>
      </c>
    </row>
    <row r="48" spans="2:12" s="18" customFormat="1" ht="34.9" hidden="1" customHeight="1">
      <c r="B48" s="15">
        <v>36800</v>
      </c>
      <c r="C48" s="11">
        <v>205.1</v>
      </c>
      <c r="D48" s="11">
        <v>3.8481012658227787</v>
      </c>
      <c r="E48" s="11">
        <v>121.4</v>
      </c>
      <c r="F48" s="11">
        <v>1.1666666666666714</v>
      </c>
      <c r="G48" s="11">
        <v>99.8</v>
      </c>
      <c r="H48" s="11">
        <v>0.80808080808081328</v>
      </c>
      <c r="I48" s="11">
        <v>75.7</v>
      </c>
      <c r="J48" s="11">
        <v>0.26490066225166586</v>
      </c>
      <c r="K48" s="11">
        <v>136</v>
      </c>
      <c r="L48" s="11">
        <v>2.4868123587038493</v>
      </c>
    </row>
    <row r="49" spans="2:12" s="18" customFormat="1" ht="34.9" hidden="1" customHeight="1">
      <c r="B49" s="14">
        <v>36831</v>
      </c>
      <c r="C49" s="7">
        <v>201.1</v>
      </c>
      <c r="D49" s="7">
        <v>-1.9502681618722595</v>
      </c>
      <c r="E49" s="7">
        <v>122.7</v>
      </c>
      <c r="F49" s="7">
        <v>1.0708401976935678</v>
      </c>
      <c r="G49" s="7">
        <v>99.9</v>
      </c>
      <c r="H49" s="7">
        <v>0.10020040080160886</v>
      </c>
      <c r="I49" s="7">
        <v>75.3</v>
      </c>
      <c r="J49" s="7">
        <v>-0.52840158520476299</v>
      </c>
      <c r="K49" s="7">
        <v>134.19999999999999</v>
      </c>
      <c r="L49" s="7">
        <v>-1.3235294117647123</v>
      </c>
    </row>
    <row r="50" spans="2:12" s="18" customFormat="1" ht="34.9" hidden="1" customHeight="1">
      <c r="B50" s="15">
        <v>36861</v>
      </c>
      <c r="C50" s="11">
        <v>198.7</v>
      </c>
      <c r="D50" s="11">
        <v>-1.1934361014420691</v>
      </c>
      <c r="E50" s="11">
        <v>119.7</v>
      </c>
      <c r="F50" s="11">
        <v>-2.4449877750611249</v>
      </c>
      <c r="G50" s="11">
        <v>99.8</v>
      </c>
      <c r="H50" s="11">
        <v>-0.10010010010010895</v>
      </c>
      <c r="I50" s="11">
        <v>75.2</v>
      </c>
      <c r="J50" s="11">
        <v>-0.13280212483398612</v>
      </c>
      <c r="K50" s="11">
        <v>133.1</v>
      </c>
      <c r="L50" s="11">
        <v>-0.81967213114754189</v>
      </c>
    </row>
    <row r="51" spans="2:12" s="18" customFormat="1" ht="34.9" hidden="1" customHeight="1">
      <c r="B51" s="3">
        <v>2001</v>
      </c>
      <c r="C51" s="96"/>
      <c r="D51" s="96"/>
      <c r="E51" s="93"/>
      <c r="F51" s="93"/>
      <c r="G51" s="93"/>
      <c r="H51" s="93"/>
      <c r="I51" s="93"/>
      <c r="J51" s="93"/>
      <c r="K51" s="93"/>
      <c r="L51" s="93"/>
    </row>
    <row r="52" spans="2:12" s="18" customFormat="1" ht="34.9" hidden="1" customHeight="1">
      <c r="B52" s="14">
        <v>36892</v>
      </c>
      <c r="C52" s="7">
        <v>207.7</v>
      </c>
      <c r="D52" s="7">
        <v>4.5</v>
      </c>
      <c r="E52" s="7">
        <v>125.7</v>
      </c>
      <c r="F52" s="7">
        <v>5.0125313283208017</v>
      </c>
      <c r="G52" s="7">
        <v>99.7</v>
      </c>
      <c r="H52" s="7">
        <v>-0.1</v>
      </c>
      <c r="I52" s="7">
        <v>75.2</v>
      </c>
      <c r="J52" s="7">
        <v>0</v>
      </c>
      <c r="K52" s="7">
        <v>136.69999999999999</v>
      </c>
      <c r="L52" s="7">
        <v>2.7</v>
      </c>
    </row>
    <row r="53" spans="2:12" s="18" customFormat="1" ht="34.9" hidden="1" customHeight="1">
      <c r="B53" s="15">
        <v>36923</v>
      </c>
      <c r="C53" s="11">
        <v>208.6</v>
      </c>
      <c r="D53" s="11">
        <v>0.4</v>
      </c>
      <c r="E53" s="11">
        <v>123.1</v>
      </c>
      <c r="F53" s="11">
        <v>-2.0684168655529134</v>
      </c>
      <c r="G53" s="11">
        <v>99.1</v>
      </c>
      <c r="H53" s="11">
        <v>-0.1</v>
      </c>
      <c r="I53" s="11">
        <v>77</v>
      </c>
      <c r="J53" s="11">
        <v>2.4</v>
      </c>
      <c r="K53" s="11">
        <v>137.9</v>
      </c>
      <c r="L53" s="11">
        <v>0.9</v>
      </c>
    </row>
    <row r="54" spans="2:12" s="18" customFormat="1" ht="34.9" hidden="1" customHeight="1">
      <c r="B54" s="14">
        <v>36951</v>
      </c>
      <c r="C54" s="7">
        <v>209.7</v>
      </c>
      <c r="D54" s="7">
        <v>0.52732502396932723</v>
      </c>
      <c r="E54" s="7">
        <v>125.9</v>
      </c>
      <c r="F54" s="7">
        <v>2.2745735174654946</v>
      </c>
      <c r="G54" s="7">
        <v>100.2</v>
      </c>
      <c r="H54" s="7">
        <v>1.1099899091826515</v>
      </c>
      <c r="I54" s="7">
        <v>76.900000000000006</v>
      </c>
      <c r="J54" s="7">
        <v>-0.12987012987012436</v>
      </c>
      <c r="K54" s="7">
        <v>138.5</v>
      </c>
      <c r="L54" s="7">
        <v>0.435097897026826</v>
      </c>
    </row>
    <row r="55" spans="2:12" s="18" customFormat="1" ht="34.9" hidden="1" customHeight="1">
      <c r="B55" s="15">
        <v>36982</v>
      </c>
      <c r="C55" s="11">
        <v>206.2</v>
      </c>
      <c r="D55" s="11">
        <v>-1.7</v>
      </c>
      <c r="E55" s="11">
        <v>146.4</v>
      </c>
      <c r="F55" s="11">
        <v>16.282764098490876</v>
      </c>
      <c r="G55" s="11">
        <v>100.4</v>
      </c>
      <c r="H55" s="11">
        <v>0.2</v>
      </c>
      <c r="I55" s="11">
        <v>74.2</v>
      </c>
      <c r="J55" s="11">
        <v>-3.5</v>
      </c>
      <c r="K55" s="11">
        <v>136.1</v>
      </c>
      <c r="L55" s="11">
        <v>-1.7</v>
      </c>
    </row>
    <row r="56" spans="2:12" s="18" customFormat="1" ht="34.9" hidden="1" customHeight="1">
      <c r="B56" s="14">
        <v>37012</v>
      </c>
      <c r="C56" s="7">
        <v>222</v>
      </c>
      <c r="D56" s="7">
        <v>7.6624636275460789</v>
      </c>
      <c r="E56" s="7">
        <v>140.9</v>
      </c>
      <c r="F56" s="7">
        <v>-3.7568306010928976</v>
      </c>
      <c r="G56" s="7">
        <v>99.9</v>
      </c>
      <c r="H56" s="7">
        <v>-0.4980079681274896</v>
      </c>
      <c r="I56" s="7">
        <v>72.400000000000006</v>
      </c>
      <c r="J56" s="7">
        <v>-2.425876010781669</v>
      </c>
      <c r="K56" s="7">
        <v>141</v>
      </c>
      <c r="L56" s="7">
        <v>3.6002939015429947</v>
      </c>
    </row>
    <row r="57" spans="2:12" s="18" customFormat="1" ht="34.9" hidden="1" customHeight="1">
      <c r="B57" s="15">
        <v>37043</v>
      </c>
      <c r="C57" s="11">
        <v>219.7</v>
      </c>
      <c r="D57" s="11">
        <v>-1.0360360360360366</v>
      </c>
      <c r="E57" s="11">
        <v>136.9</v>
      </c>
      <c r="F57" s="11">
        <v>-2.838892831795603</v>
      </c>
      <c r="G57" s="11">
        <v>102.4</v>
      </c>
      <c r="H57" s="11">
        <v>2.5025025025025016</v>
      </c>
      <c r="I57" s="11">
        <v>72.900000000000006</v>
      </c>
      <c r="J57" s="11">
        <v>0.6906077348066253</v>
      </c>
      <c r="K57" s="11">
        <v>140.9</v>
      </c>
      <c r="L57" s="11">
        <v>-7.0921985815597388E-2</v>
      </c>
    </row>
    <row r="58" spans="2:12" s="18" customFormat="1" ht="34.9" hidden="1" customHeight="1">
      <c r="B58" s="14">
        <v>37073</v>
      </c>
      <c r="C58" s="7">
        <v>228.6</v>
      </c>
      <c r="D58" s="7">
        <v>4.0509786071916354</v>
      </c>
      <c r="E58" s="7">
        <v>145.5</v>
      </c>
      <c r="F58" s="7">
        <v>6.2819576333089877</v>
      </c>
      <c r="G58" s="7">
        <v>102.4</v>
      </c>
      <c r="H58" s="7">
        <v>0</v>
      </c>
      <c r="I58" s="7">
        <v>73.400000000000006</v>
      </c>
      <c r="J58" s="7">
        <v>0.68587105624142719</v>
      </c>
      <c r="K58" s="7">
        <v>144.69999999999999</v>
      </c>
      <c r="L58" s="7">
        <v>2.6969481902058057</v>
      </c>
    </row>
    <row r="59" spans="2:12" s="18" customFormat="1" ht="34.9" hidden="1" customHeight="1">
      <c r="B59" s="15">
        <v>37104</v>
      </c>
      <c r="C59" s="11">
        <v>236.7</v>
      </c>
      <c r="D59" s="11">
        <v>3.5433070866141669</v>
      </c>
      <c r="E59" s="11">
        <v>144</v>
      </c>
      <c r="F59" s="11">
        <v>-1.0309278350515427</v>
      </c>
      <c r="G59" s="11">
        <v>103.4</v>
      </c>
      <c r="H59" s="11">
        <v>0.9765625</v>
      </c>
      <c r="I59" s="11">
        <v>77.400000000000006</v>
      </c>
      <c r="J59" s="11">
        <v>5.4495912806539426</v>
      </c>
      <c r="K59" s="11">
        <v>149.9</v>
      </c>
      <c r="L59" s="11">
        <v>3.5936420179682127</v>
      </c>
    </row>
    <row r="60" spans="2:12" s="18" customFormat="1" ht="34.9" hidden="1" customHeight="1">
      <c r="B60" s="14">
        <v>37135</v>
      </c>
      <c r="C60" s="7">
        <v>249.9</v>
      </c>
      <c r="D60" s="7">
        <v>9.3175853018372834</v>
      </c>
      <c r="E60" s="7">
        <v>137.30000000000001</v>
      </c>
      <c r="F60" s="7">
        <v>-4.6527777777777724</v>
      </c>
      <c r="G60" s="7">
        <v>103.4</v>
      </c>
      <c r="H60" s="7">
        <v>0.9765625</v>
      </c>
      <c r="I60" s="7">
        <v>77.2</v>
      </c>
      <c r="J60" s="7">
        <v>5.1771117166212521</v>
      </c>
      <c r="K60" s="7">
        <v>154.69999999999999</v>
      </c>
      <c r="L60" s="7">
        <v>6.9108500345542501</v>
      </c>
    </row>
    <row r="61" spans="2:12" s="18" customFormat="1" ht="34.9" hidden="1" customHeight="1">
      <c r="B61" s="15">
        <v>37165</v>
      </c>
      <c r="C61" s="11">
        <v>277</v>
      </c>
      <c r="D61" s="11">
        <v>10.844337735094033</v>
      </c>
      <c r="E61" s="11">
        <v>133.4</v>
      </c>
      <c r="F61" s="11">
        <v>-2.8404952658412252</v>
      </c>
      <c r="G61" s="11">
        <v>105.3</v>
      </c>
      <c r="H61" s="11">
        <v>1.837524177949712</v>
      </c>
      <c r="I61" s="11">
        <v>78.900000000000006</v>
      </c>
      <c r="J61" s="11">
        <v>2.2020725388601115</v>
      </c>
      <c r="K61" s="11">
        <v>166.2</v>
      </c>
      <c r="L61" s="11">
        <v>7.4337427278603707</v>
      </c>
    </row>
    <row r="62" spans="2:12" s="18" customFormat="1" ht="34.9" hidden="1" customHeight="1">
      <c r="B62" s="14">
        <v>37196</v>
      </c>
      <c r="C62" s="7">
        <v>288</v>
      </c>
      <c r="D62" s="7">
        <v>3.971119133573997</v>
      </c>
      <c r="E62" s="7">
        <v>135.1</v>
      </c>
      <c r="F62" s="7">
        <v>1.2743628185907019</v>
      </c>
      <c r="G62" s="7">
        <v>107.7</v>
      </c>
      <c r="H62" s="7">
        <v>2.2792022792022859</v>
      </c>
      <c r="I62" s="7">
        <v>83</v>
      </c>
      <c r="J62" s="7">
        <v>5.1964512040557631</v>
      </c>
      <c r="K62" s="7">
        <v>172.9</v>
      </c>
      <c r="L62" s="7">
        <v>4.031287605294831</v>
      </c>
    </row>
    <row r="63" spans="2:12" s="18" customFormat="1" ht="34.9" hidden="1" customHeight="1">
      <c r="B63" s="15" t="s">
        <v>88</v>
      </c>
      <c r="C63" s="11">
        <v>275.2</v>
      </c>
      <c r="D63" s="11">
        <v>-4.4444444444444509</v>
      </c>
      <c r="E63" s="11">
        <v>133.19999999999999</v>
      </c>
      <c r="F63" s="11">
        <v>-1.4063656550703185</v>
      </c>
      <c r="G63" s="11">
        <v>109.4</v>
      </c>
      <c r="H63" s="11">
        <v>1.5784586815227541</v>
      </c>
      <c r="I63" s="11">
        <v>91.7</v>
      </c>
      <c r="J63" s="11">
        <v>10.481927710843376</v>
      </c>
      <c r="K63" s="11">
        <v>172.7</v>
      </c>
      <c r="L63" s="11">
        <v>-0.11567379988434157</v>
      </c>
    </row>
    <row r="64" spans="2:12" s="18" customFormat="1" ht="34.9" hidden="1" customHeight="1">
      <c r="B64" s="3">
        <v>2002</v>
      </c>
      <c r="C64" s="96"/>
      <c r="D64" s="96"/>
      <c r="E64" s="93"/>
      <c r="F64" s="93"/>
      <c r="G64" s="93"/>
      <c r="H64" s="93"/>
      <c r="I64" s="93"/>
      <c r="J64" s="93"/>
      <c r="K64" s="93"/>
      <c r="L64" s="93"/>
    </row>
    <row r="65" spans="2:12" s="18" customFormat="1" ht="34.9" hidden="1" customHeight="1">
      <c r="B65" s="14">
        <v>37257</v>
      </c>
      <c r="C65" s="7">
        <v>276.2</v>
      </c>
      <c r="D65" s="7">
        <v>0.36337209302326201</v>
      </c>
      <c r="E65" s="7">
        <v>132.80000000000001</v>
      </c>
      <c r="F65" s="7">
        <v>-0.30030030030028243</v>
      </c>
      <c r="G65" s="7">
        <v>113.7</v>
      </c>
      <c r="H65" s="7">
        <v>3.9305301645338186</v>
      </c>
      <c r="I65" s="7">
        <v>96.1</v>
      </c>
      <c r="J65" s="7">
        <v>4.7982551799345519</v>
      </c>
      <c r="K65" s="7">
        <v>176</v>
      </c>
      <c r="L65" s="7">
        <v>1.9108280254777066</v>
      </c>
    </row>
    <row r="66" spans="2:12" s="18" customFormat="1" ht="34.9" hidden="1" customHeight="1">
      <c r="B66" s="15">
        <v>37288</v>
      </c>
      <c r="C66" s="11">
        <v>272.89999999999998</v>
      </c>
      <c r="D66" s="11">
        <v>-1.1947863866763275</v>
      </c>
      <c r="E66" s="11">
        <v>133.5</v>
      </c>
      <c r="F66" s="11">
        <v>0.52710843373493521</v>
      </c>
      <c r="G66" s="11">
        <v>113</v>
      </c>
      <c r="H66" s="11">
        <v>-0.61565523306947867</v>
      </c>
      <c r="I66" s="11">
        <v>94</v>
      </c>
      <c r="J66" s="11">
        <v>-2.1852237252861562</v>
      </c>
      <c r="K66" s="11">
        <v>173.6</v>
      </c>
      <c r="L66" s="11">
        <v>-1.3636363636363669</v>
      </c>
    </row>
    <row r="67" spans="2:12" s="18" customFormat="1" ht="34.9" hidden="1" customHeight="1">
      <c r="B67" s="14">
        <v>37316</v>
      </c>
      <c r="C67" s="7">
        <v>264.8</v>
      </c>
      <c r="D67" s="7">
        <v>-2.9681201905459753</v>
      </c>
      <c r="E67" s="7">
        <v>141.6</v>
      </c>
      <c r="F67" s="7">
        <v>6.0674157303370668</v>
      </c>
      <c r="G67" s="7">
        <v>111.2</v>
      </c>
      <c r="H67" s="7">
        <v>-1.5929203539822967</v>
      </c>
      <c r="I67" s="7">
        <v>97.6</v>
      </c>
      <c r="J67" s="7">
        <v>3.8297872340425476</v>
      </c>
      <c r="K67" s="7">
        <v>172.2</v>
      </c>
      <c r="L67" s="7">
        <v>-0.80645161290322509</v>
      </c>
    </row>
    <row r="68" spans="2:12" s="18" customFormat="1" ht="34.9" hidden="1" customHeight="1">
      <c r="B68" s="15">
        <v>37347</v>
      </c>
      <c r="C68" s="11">
        <v>254.4</v>
      </c>
      <c r="D68" s="11">
        <v>-3.92749244712991</v>
      </c>
      <c r="E68" s="11">
        <v>139.6</v>
      </c>
      <c r="F68" s="11">
        <v>-1.4124293785310771</v>
      </c>
      <c r="G68" s="11">
        <v>107.1</v>
      </c>
      <c r="H68" s="11">
        <v>-3.6870503597122406</v>
      </c>
      <c r="I68" s="11">
        <v>92.7</v>
      </c>
      <c r="J68" s="11">
        <v>-5.0204918032786816</v>
      </c>
      <c r="K68" s="11">
        <v>165</v>
      </c>
      <c r="L68" s="11">
        <v>-4.1811846689895464</v>
      </c>
    </row>
    <row r="69" spans="2:12" s="18" customFormat="1" ht="34.9" hidden="1" customHeight="1">
      <c r="B69" s="14">
        <v>37377</v>
      </c>
      <c r="C69" s="7">
        <v>262.10000000000002</v>
      </c>
      <c r="D69" s="7">
        <v>3.0267295597484312</v>
      </c>
      <c r="E69" s="7">
        <v>140.5</v>
      </c>
      <c r="F69" s="7">
        <v>0.64469914040115039</v>
      </c>
      <c r="G69" s="7">
        <v>112.3</v>
      </c>
      <c r="H69" s="7">
        <v>4.8552754435107426</v>
      </c>
      <c r="I69" s="7">
        <v>102.3</v>
      </c>
      <c r="J69" s="7">
        <v>10.355987055016168</v>
      </c>
      <c r="K69" s="7">
        <v>173.8</v>
      </c>
      <c r="L69" s="7">
        <v>5.3333333333333455</v>
      </c>
    </row>
    <row r="70" spans="2:12" s="18" customFormat="1" ht="34.9" hidden="1" customHeight="1">
      <c r="B70" s="15">
        <v>37408</v>
      </c>
      <c r="C70" s="11">
        <v>274.10000000000002</v>
      </c>
      <c r="D70" s="11">
        <v>4.5784051888592137</v>
      </c>
      <c r="E70" s="11">
        <v>142.19999999999999</v>
      </c>
      <c r="F70" s="11">
        <v>1.2099644128113818</v>
      </c>
      <c r="G70" s="11">
        <v>117.1</v>
      </c>
      <c r="H70" s="11">
        <v>4.2742653606411274</v>
      </c>
      <c r="I70" s="11">
        <v>114.6</v>
      </c>
      <c r="J70" s="11">
        <v>12.023460410557174</v>
      </c>
      <c r="K70" s="11">
        <v>185.4</v>
      </c>
      <c r="L70" s="11">
        <v>6.6743383199079354</v>
      </c>
    </row>
    <row r="71" spans="2:12" s="18" customFormat="1" ht="34.9" hidden="1" customHeight="1">
      <c r="B71" s="14">
        <v>37438</v>
      </c>
      <c r="C71" s="7">
        <v>273.10000000000002</v>
      </c>
      <c r="D71" s="7">
        <v>-0.36483035388544804</v>
      </c>
      <c r="E71" s="7">
        <v>145.19999999999999</v>
      </c>
      <c r="F71" s="7">
        <v>2.1097046413502074</v>
      </c>
      <c r="G71" s="7">
        <v>115.4</v>
      </c>
      <c r="H71" s="7">
        <v>-1.451750640478211</v>
      </c>
      <c r="I71" s="7">
        <v>110.5</v>
      </c>
      <c r="J71" s="7">
        <v>-3.5776614310645716</v>
      </c>
      <c r="K71" s="7">
        <v>182.8</v>
      </c>
      <c r="L71" s="7">
        <v>-1.4023732470334394</v>
      </c>
    </row>
    <row r="72" spans="2:12" s="18" customFormat="1" ht="34.9" hidden="1" customHeight="1">
      <c r="B72" s="15">
        <v>37469</v>
      </c>
      <c r="C72" s="11">
        <v>266.7</v>
      </c>
      <c r="D72" s="11">
        <v>-2.3434639326254225</v>
      </c>
      <c r="E72" s="11">
        <v>146.5</v>
      </c>
      <c r="F72" s="11">
        <v>0.89531680440773087</v>
      </c>
      <c r="G72" s="11">
        <v>112.2</v>
      </c>
      <c r="H72" s="11">
        <v>-2.7729636048526851</v>
      </c>
      <c r="I72" s="11">
        <v>107.8</v>
      </c>
      <c r="J72" s="11">
        <v>-2.4434389140271517</v>
      </c>
      <c r="K72" s="11">
        <v>178.4</v>
      </c>
      <c r="L72" s="11">
        <v>-2.4070021881838155</v>
      </c>
    </row>
    <row r="73" spans="2:12" s="18" customFormat="1" ht="34.9" hidden="1" customHeight="1">
      <c r="B73" s="14">
        <v>37500</v>
      </c>
      <c r="C73" s="7">
        <v>264.5</v>
      </c>
      <c r="D73" s="7">
        <v>-0.82489688788901505</v>
      </c>
      <c r="E73" s="7">
        <v>145.19999999999999</v>
      </c>
      <c r="F73" s="7">
        <v>-0.88737201365188811</v>
      </c>
      <c r="G73" s="7">
        <v>108</v>
      </c>
      <c r="H73" s="7">
        <v>-3.7433155080213942</v>
      </c>
      <c r="I73" s="7">
        <v>102.6</v>
      </c>
      <c r="J73" s="7">
        <v>-4.8237476808905448</v>
      </c>
      <c r="K73" s="7">
        <v>174.1</v>
      </c>
      <c r="L73" s="7">
        <v>-2.4103139013452957</v>
      </c>
    </row>
    <row r="74" spans="2:12" s="18" customFormat="1" ht="34.9" hidden="1" customHeight="1">
      <c r="B74" s="15">
        <v>37530</v>
      </c>
      <c r="C74" s="11">
        <v>256.7</v>
      </c>
      <c r="D74" s="11">
        <v>-2.9489603024574707</v>
      </c>
      <c r="E74" s="11">
        <v>146.69999999999999</v>
      </c>
      <c r="F74" s="11">
        <v>1.0330578512396604</v>
      </c>
      <c r="G74" s="11">
        <v>106.8</v>
      </c>
      <c r="H74" s="11">
        <v>-1.1111111111111183</v>
      </c>
      <c r="I74" s="11">
        <v>98.3</v>
      </c>
      <c r="J74" s="11">
        <v>-4.191033138401556</v>
      </c>
      <c r="K74" s="11">
        <v>168.8</v>
      </c>
      <c r="L74" s="11">
        <v>-3.0442274554853488</v>
      </c>
    </row>
    <row r="75" spans="2:12" s="18" customFormat="1" ht="34.9" hidden="1" customHeight="1">
      <c r="B75" s="14">
        <v>37561</v>
      </c>
      <c r="C75" s="7">
        <v>257.10000000000002</v>
      </c>
      <c r="D75" s="7">
        <v>0.15582391897157599</v>
      </c>
      <c r="E75" s="7">
        <v>147.30000000000001</v>
      </c>
      <c r="F75" s="7">
        <v>0.40899795501023739</v>
      </c>
      <c r="G75" s="7">
        <v>108.8</v>
      </c>
      <c r="H75" s="7">
        <v>1.8726591760299671</v>
      </c>
      <c r="I75" s="7">
        <v>102.2</v>
      </c>
      <c r="J75" s="7">
        <v>3.9674465920651159</v>
      </c>
      <c r="K75" s="7">
        <v>171.3</v>
      </c>
      <c r="L75" s="7">
        <v>1.4810426540284416</v>
      </c>
    </row>
    <row r="76" spans="2:12" s="18" customFormat="1" ht="34.9" hidden="1" customHeight="1">
      <c r="B76" s="15">
        <v>37591</v>
      </c>
      <c r="C76" s="11">
        <v>255.7</v>
      </c>
      <c r="D76" s="11">
        <v>-0.5445352003111803</v>
      </c>
      <c r="E76" s="11">
        <v>149.9</v>
      </c>
      <c r="F76" s="11">
        <v>1.7651052274270107</v>
      </c>
      <c r="G76" s="11">
        <v>106</v>
      </c>
      <c r="H76" s="11">
        <v>-2.5735294117647078</v>
      </c>
      <c r="I76" s="11">
        <v>101.6</v>
      </c>
      <c r="J76" s="11">
        <v>-0.58708414872798986</v>
      </c>
      <c r="K76" s="11">
        <v>170</v>
      </c>
      <c r="L76" s="11">
        <v>-0.75890251021599742</v>
      </c>
    </row>
    <row r="77" spans="2:12" s="18" customFormat="1" ht="34.9" hidden="1" customHeight="1">
      <c r="B77" s="3">
        <v>2003</v>
      </c>
      <c r="C77" s="96"/>
      <c r="D77" s="96"/>
      <c r="E77" s="93"/>
      <c r="F77" s="93"/>
      <c r="G77" s="93"/>
      <c r="H77" s="93"/>
      <c r="I77" s="93"/>
      <c r="J77" s="93"/>
      <c r="K77" s="93"/>
      <c r="L77" s="93"/>
    </row>
    <row r="78" spans="2:12" s="18" customFormat="1" ht="34.9" hidden="1" customHeight="1">
      <c r="B78" s="14">
        <v>37622</v>
      </c>
      <c r="C78" s="7">
        <v>264.3</v>
      </c>
      <c r="D78" s="7">
        <v>2.8004667444573972</v>
      </c>
      <c r="E78" s="7">
        <v>156.1</v>
      </c>
      <c r="F78" s="7">
        <v>4.1360907271514202</v>
      </c>
      <c r="G78" s="7">
        <v>104</v>
      </c>
      <c r="H78" s="7">
        <v>-4.4117647058823479</v>
      </c>
      <c r="I78" s="7">
        <v>102.7</v>
      </c>
      <c r="J78" s="7">
        <v>0.48923679060666192</v>
      </c>
      <c r="K78" s="7">
        <v>172.7</v>
      </c>
      <c r="L78" s="7">
        <v>0.8172796263864468</v>
      </c>
    </row>
    <row r="79" spans="2:12" s="18" customFormat="1" ht="34.9" hidden="1" customHeight="1">
      <c r="B79" s="15">
        <v>37653</v>
      </c>
      <c r="C79" s="11">
        <v>250.9</v>
      </c>
      <c r="D79" s="11">
        <v>-5.0699962164207353</v>
      </c>
      <c r="E79" s="11">
        <v>152.6</v>
      </c>
      <c r="F79" s="11">
        <v>-2.2421524663677084</v>
      </c>
      <c r="G79" s="11">
        <v>98.6</v>
      </c>
      <c r="H79" s="11">
        <v>-5.1923076923076961</v>
      </c>
      <c r="I79" s="11">
        <v>97.7</v>
      </c>
      <c r="J79" s="11">
        <v>-4.8685491723466363</v>
      </c>
      <c r="K79" s="11">
        <v>164</v>
      </c>
      <c r="L79" s="11">
        <v>-5.0376375217139451</v>
      </c>
    </row>
    <row r="80" spans="2:12" s="18" customFormat="1" ht="34.9" hidden="1" customHeight="1">
      <c r="B80" s="14">
        <v>37681</v>
      </c>
      <c r="C80" s="7">
        <v>258.7</v>
      </c>
      <c r="D80" s="7">
        <v>3.1088082901554293</v>
      </c>
      <c r="E80" s="7">
        <v>157.4</v>
      </c>
      <c r="F80" s="7">
        <v>3.1454783748361859</v>
      </c>
      <c r="G80" s="7">
        <v>102.2</v>
      </c>
      <c r="H80" s="7">
        <v>3.6511156186612714</v>
      </c>
      <c r="I80" s="7">
        <v>103.1</v>
      </c>
      <c r="J80" s="7">
        <v>5.527123848515858</v>
      </c>
      <c r="K80" s="7">
        <v>170.4</v>
      </c>
      <c r="L80" s="7">
        <v>3.9024390243902474</v>
      </c>
    </row>
    <row r="81" spans="2:12" s="18" customFormat="1" ht="34.9" hidden="1" customHeight="1">
      <c r="B81" s="15">
        <v>37712</v>
      </c>
      <c r="C81" s="11">
        <v>276</v>
      </c>
      <c r="D81" s="11">
        <v>6.6872825666795643</v>
      </c>
      <c r="E81" s="11">
        <v>170.8</v>
      </c>
      <c r="F81" s="11">
        <v>8.5133418043201949</v>
      </c>
      <c r="G81" s="11">
        <v>106.9</v>
      </c>
      <c r="H81" s="11">
        <v>4.5988258317025466</v>
      </c>
      <c r="I81" s="11">
        <v>114.7</v>
      </c>
      <c r="J81" s="11">
        <v>11.25121241513094</v>
      </c>
      <c r="K81" s="11">
        <v>183.2</v>
      </c>
      <c r="L81" s="11">
        <v>7.5117370892018753</v>
      </c>
    </row>
    <row r="82" spans="2:12" s="18" customFormat="1" ht="34.9" hidden="1" customHeight="1">
      <c r="B82" s="14">
        <v>37742</v>
      </c>
      <c r="C82" s="7">
        <v>282.7</v>
      </c>
      <c r="D82" s="7">
        <v>2.4275362318840532</v>
      </c>
      <c r="E82" s="7">
        <v>174.4</v>
      </c>
      <c r="F82" s="7">
        <v>2.1077283372365363</v>
      </c>
      <c r="G82" s="7">
        <v>107.3</v>
      </c>
      <c r="H82" s="7">
        <v>0.37418147801682178</v>
      </c>
      <c r="I82" s="7">
        <v>125.5</v>
      </c>
      <c r="J82" s="7">
        <v>9.4158674803836107</v>
      </c>
      <c r="K82" s="7">
        <v>190.5</v>
      </c>
      <c r="L82" s="7">
        <v>3.984716157205237</v>
      </c>
    </row>
    <row r="83" spans="2:12" s="18" customFormat="1" ht="34.9" hidden="1" customHeight="1">
      <c r="B83" s="15">
        <v>37773</v>
      </c>
      <c r="C83" s="11">
        <v>301.89999999999998</v>
      </c>
      <c r="D83" s="11">
        <v>6.7916519278387044</v>
      </c>
      <c r="E83" s="11">
        <v>171.3</v>
      </c>
      <c r="F83" s="11">
        <v>-1.7775229357798183</v>
      </c>
      <c r="G83" s="11">
        <v>108.8</v>
      </c>
      <c r="H83" s="11">
        <v>1.3979496738117492</v>
      </c>
      <c r="I83" s="11">
        <v>133.30000000000001</v>
      </c>
      <c r="J83" s="11">
        <v>6.2151394422310879</v>
      </c>
      <c r="K83" s="11">
        <v>200.9</v>
      </c>
      <c r="L83" s="11">
        <v>5.4593175853018483</v>
      </c>
    </row>
    <row r="84" spans="2:12" s="18" customFormat="1" ht="34.9" hidden="1" customHeight="1">
      <c r="B84" s="14">
        <v>37803</v>
      </c>
      <c r="C84" s="7">
        <v>331.3</v>
      </c>
      <c r="D84" s="7">
        <v>9.6999999999999993</v>
      </c>
      <c r="E84" s="7">
        <v>177.7</v>
      </c>
      <c r="F84" s="7">
        <v>3.7361354349094933</v>
      </c>
      <c r="G84" s="7">
        <v>117.7</v>
      </c>
      <c r="H84" s="7">
        <v>8.1999999999999993</v>
      </c>
      <c r="I84" s="7">
        <v>143</v>
      </c>
      <c r="J84" s="7">
        <v>7.3</v>
      </c>
      <c r="K84" s="7">
        <v>218.2</v>
      </c>
      <c r="L84" s="7">
        <v>8.6</v>
      </c>
    </row>
    <row r="85" spans="2:12" s="18" customFormat="1" ht="34.9" hidden="1" customHeight="1">
      <c r="B85" s="15">
        <v>37834</v>
      </c>
      <c r="C85" s="11">
        <v>355.4</v>
      </c>
      <c r="D85" s="11">
        <v>7.2743736794446123</v>
      </c>
      <c r="E85" s="11">
        <v>192.8</v>
      </c>
      <c r="F85" s="11">
        <v>8.4974676420934259</v>
      </c>
      <c r="G85" s="11">
        <v>118.7</v>
      </c>
      <c r="H85" s="11">
        <v>0.84961767204758676</v>
      </c>
      <c r="I85" s="11">
        <v>145.6</v>
      </c>
      <c r="J85" s="11">
        <v>1.8181818181818077</v>
      </c>
      <c r="K85" s="11">
        <v>227.9</v>
      </c>
      <c r="L85" s="11">
        <v>4.445462878093509</v>
      </c>
    </row>
    <row r="86" spans="2:12" s="18" customFormat="1" ht="34.9" hidden="1" customHeight="1">
      <c r="B86" s="14">
        <v>37865</v>
      </c>
      <c r="C86" s="7">
        <v>389.6</v>
      </c>
      <c r="D86" s="7">
        <v>9.6229600450197026</v>
      </c>
      <c r="E86" s="7">
        <v>214</v>
      </c>
      <c r="F86" s="7">
        <v>10.995850622406621</v>
      </c>
      <c r="G86" s="7">
        <v>118</v>
      </c>
      <c r="H86" s="7">
        <v>-0.58972198820556043</v>
      </c>
      <c r="I86" s="7">
        <v>141</v>
      </c>
      <c r="J86" s="7">
        <v>-3.1593406593406592</v>
      </c>
      <c r="K86" s="7">
        <v>237.2</v>
      </c>
      <c r="L86" s="7">
        <v>4.0807371654234315</v>
      </c>
    </row>
    <row r="87" spans="2:12" s="18" customFormat="1" ht="34.9" hidden="1" customHeight="1">
      <c r="B87" s="15">
        <v>37895</v>
      </c>
      <c r="C87" s="11">
        <v>374.8</v>
      </c>
      <c r="D87" s="11">
        <v>-3.7987679671457886</v>
      </c>
      <c r="E87" s="11">
        <v>214</v>
      </c>
      <c r="F87" s="11">
        <v>0</v>
      </c>
      <c r="G87" s="11">
        <v>116.8</v>
      </c>
      <c r="H87" s="11">
        <v>-1.0169491525423791</v>
      </c>
      <c r="I87" s="11">
        <v>138.6</v>
      </c>
      <c r="J87" s="11">
        <v>-1.7021276595744705</v>
      </c>
      <c r="K87" s="11">
        <v>230.8</v>
      </c>
      <c r="L87" s="11">
        <v>-2.6981450252950956</v>
      </c>
    </row>
    <row r="88" spans="2:12" s="18" customFormat="1" ht="34.9" hidden="1" customHeight="1">
      <c r="B88" s="14">
        <v>37926</v>
      </c>
      <c r="C88" s="7">
        <v>436</v>
      </c>
      <c r="D88" s="7">
        <v>16.328708644610444</v>
      </c>
      <c r="E88" s="7">
        <v>211.5</v>
      </c>
      <c r="F88" s="7">
        <v>-1.1682242990654235</v>
      </c>
      <c r="G88" s="7">
        <v>121.3</v>
      </c>
      <c r="H88" s="7">
        <v>3.8527397260273988</v>
      </c>
      <c r="I88" s="7">
        <v>146.9</v>
      </c>
      <c r="J88" s="7">
        <v>5.9884559884559874</v>
      </c>
      <c r="K88" s="7">
        <v>256.3</v>
      </c>
      <c r="L88" s="7">
        <v>11.048526863084929</v>
      </c>
    </row>
    <row r="89" spans="2:12" s="18" customFormat="1" ht="34.9" hidden="1" customHeight="1">
      <c r="B89" s="15">
        <v>37956</v>
      </c>
      <c r="C89" s="11">
        <v>443.4</v>
      </c>
      <c r="D89" s="11">
        <v>1.6972477064220115</v>
      </c>
      <c r="E89" s="11">
        <v>228.8</v>
      </c>
      <c r="F89" s="11">
        <v>8.1796690307328603</v>
      </c>
      <c r="G89" s="11">
        <v>126.7</v>
      </c>
      <c r="H89" s="11">
        <v>4.4517724649629109</v>
      </c>
      <c r="I89" s="11">
        <v>148.19999999999999</v>
      </c>
      <c r="J89" s="11">
        <v>0.88495575221236855</v>
      </c>
      <c r="K89" s="11">
        <v>261.5</v>
      </c>
      <c r="L89" s="11">
        <v>2.028872415138494</v>
      </c>
    </row>
    <row r="90" spans="2:12" s="18" customFormat="1" ht="34.9" hidden="1" customHeight="1">
      <c r="B90" s="3">
        <v>2004</v>
      </c>
      <c r="C90" s="96"/>
      <c r="D90" s="96"/>
      <c r="E90" s="93"/>
      <c r="F90" s="93"/>
      <c r="G90" s="93"/>
      <c r="H90" s="93"/>
      <c r="I90" s="93"/>
      <c r="J90" s="93"/>
      <c r="K90" s="93"/>
      <c r="L90" s="93"/>
    </row>
    <row r="91" spans="2:12" s="18" customFormat="1" ht="34.9" hidden="1" customHeight="1">
      <c r="B91" s="14">
        <v>37987</v>
      </c>
      <c r="C91" s="7">
        <v>4756.8999999999996</v>
      </c>
      <c r="D91" s="7">
        <v>7.3</v>
      </c>
      <c r="E91" s="7">
        <v>2499.4</v>
      </c>
      <c r="F91" s="7">
        <v>992.39510489510485</v>
      </c>
      <c r="G91" s="7">
        <v>1389.4</v>
      </c>
      <c r="H91" s="7">
        <v>9.6999999999999993</v>
      </c>
      <c r="I91" s="7">
        <v>1602</v>
      </c>
      <c r="J91" s="7">
        <v>8.1</v>
      </c>
      <c r="K91" s="7">
        <v>2821.9</v>
      </c>
      <c r="L91" s="7" t="s">
        <v>90</v>
      </c>
    </row>
    <row r="92" spans="2:12" s="18" customFormat="1" ht="34.9" hidden="1" customHeight="1">
      <c r="B92" s="15">
        <v>38018</v>
      </c>
      <c r="C92" s="11">
        <v>4890.1000000000004</v>
      </c>
      <c r="D92" s="11">
        <v>2.8001429502407138</v>
      </c>
      <c r="E92" s="11">
        <v>2583.8000000000002</v>
      </c>
      <c r="F92" s="11">
        <v>3.3768104345042849</v>
      </c>
      <c r="G92" s="11">
        <v>1402.6</v>
      </c>
      <c r="H92" s="11">
        <v>0.95005038145961063</v>
      </c>
      <c r="I92" s="11">
        <v>1543.8</v>
      </c>
      <c r="J92" s="11">
        <v>-3.6329588014981318</v>
      </c>
      <c r="K92" s="11">
        <v>2846.5</v>
      </c>
      <c r="L92" s="11">
        <v>0.87175307416988979</v>
      </c>
    </row>
    <row r="93" spans="2:12" s="18" customFormat="1" ht="34.9" hidden="1" customHeight="1">
      <c r="B93" s="14">
        <v>38047</v>
      </c>
      <c r="C93" s="7">
        <v>4658.8</v>
      </c>
      <c r="D93" s="7">
        <v>-4.7299646224003622</v>
      </c>
      <c r="E93" s="7">
        <v>2430.9</v>
      </c>
      <c r="F93" s="7">
        <v>-5.9176406842634925</v>
      </c>
      <c r="G93" s="7">
        <v>1372.8</v>
      </c>
      <c r="H93" s="7">
        <v>-2.1246256951375941</v>
      </c>
      <c r="I93" s="7">
        <v>1479.1</v>
      </c>
      <c r="J93" s="7">
        <v>-4.1909573778986964</v>
      </c>
      <c r="K93" s="7">
        <v>2727.8</v>
      </c>
      <c r="L93" s="7">
        <v>-4.1700333743193374</v>
      </c>
    </row>
    <row r="94" spans="2:12" s="18" customFormat="1" ht="34.9" hidden="1" customHeight="1">
      <c r="B94" s="15">
        <v>38078</v>
      </c>
      <c r="C94" s="11">
        <v>4543.3999999999996</v>
      </c>
      <c r="D94" s="11">
        <v>-2.4770327122864422</v>
      </c>
      <c r="E94" s="11">
        <v>2486.8000000000002</v>
      </c>
      <c r="F94" s="11">
        <v>2.2995598338064083</v>
      </c>
      <c r="G94" s="11">
        <v>1307.7</v>
      </c>
      <c r="H94" s="11">
        <v>-4.7421328671328649</v>
      </c>
      <c r="I94" s="11">
        <v>1475.8</v>
      </c>
      <c r="J94" s="11">
        <v>-0.2231086471502941</v>
      </c>
      <c r="K94" s="11">
        <v>2666</v>
      </c>
      <c r="L94" s="11">
        <v>-2.2655619913483416</v>
      </c>
    </row>
    <row r="95" spans="2:12" s="18" customFormat="1" ht="34.9" hidden="1" customHeight="1">
      <c r="B95" s="14">
        <v>38108</v>
      </c>
      <c r="C95" s="7">
        <v>4577.5</v>
      </c>
      <c r="D95" s="7">
        <v>0.75053924373817971</v>
      </c>
      <c r="E95" s="7">
        <v>2479.4</v>
      </c>
      <c r="F95" s="7">
        <v>-0.29757117580827552</v>
      </c>
      <c r="G95" s="7">
        <v>1349.9</v>
      </c>
      <c r="H95" s="7">
        <v>3.2270398409421253</v>
      </c>
      <c r="I95" s="7">
        <v>1527.5</v>
      </c>
      <c r="J95" s="7">
        <v>3.5031847133758065</v>
      </c>
      <c r="K95" s="7">
        <v>2714.9</v>
      </c>
      <c r="L95" s="7">
        <v>1.834208552138028</v>
      </c>
    </row>
    <row r="96" spans="2:12" s="18" customFormat="1" ht="34.9" hidden="1" customHeight="1">
      <c r="B96" s="15">
        <v>38139</v>
      </c>
      <c r="C96" s="11">
        <v>4600.3</v>
      </c>
      <c r="D96" s="11">
        <v>0.49808847624248642</v>
      </c>
      <c r="E96" s="11">
        <v>2519.5</v>
      </c>
      <c r="F96" s="11">
        <v>1.6173267726062646</v>
      </c>
      <c r="G96" s="11">
        <v>1358</v>
      </c>
      <c r="H96" s="11">
        <v>0.60004444773686938</v>
      </c>
      <c r="I96" s="11">
        <v>1682.4</v>
      </c>
      <c r="J96" s="11">
        <v>10.140752864157122</v>
      </c>
      <c r="K96" s="11">
        <v>2794.8</v>
      </c>
      <c r="L96" s="11">
        <v>2.9430181590482274</v>
      </c>
    </row>
    <row r="97" spans="2:12" s="18" customFormat="1" ht="34.9" hidden="1" customHeight="1">
      <c r="B97" s="14">
        <v>38169</v>
      </c>
      <c r="C97" s="7">
        <v>4796.6000000000004</v>
      </c>
      <c r="D97" s="7">
        <v>4.2671130143686398</v>
      </c>
      <c r="E97" s="7">
        <v>2833.6</v>
      </c>
      <c r="F97" s="7">
        <v>12.466759277634454</v>
      </c>
      <c r="G97" s="7">
        <v>1418.1</v>
      </c>
      <c r="H97" s="7">
        <v>4.4256259204712656</v>
      </c>
      <c r="I97" s="7">
        <v>1749.1</v>
      </c>
      <c r="J97" s="7">
        <v>3.9645744174988007</v>
      </c>
      <c r="K97" s="7">
        <v>2915.7</v>
      </c>
      <c r="L97" s="7">
        <v>4.3258909403177226</v>
      </c>
    </row>
    <row r="98" spans="2:12" s="18" customFormat="1" ht="34.9" hidden="1" customHeight="1">
      <c r="B98" s="15">
        <v>38200</v>
      </c>
      <c r="C98" s="11">
        <v>4817.3999999999996</v>
      </c>
      <c r="D98" s="11">
        <v>4.7192574397321829</v>
      </c>
      <c r="E98" s="11">
        <v>2984.4</v>
      </c>
      <c r="F98" s="11">
        <v>5.3218520609825015</v>
      </c>
      <c r="G98" s="11">
        <v>1386.3</v>
      </c>
      <c r="H98" s="11">
        <v>2.0839469808541899</v>
      </c>
      <c r="I98" s="11">
        <v>1721.9</v>
      </c>
      <c r="J98" s="11">
        <v>2.347836424155969</v>
      </c>
      <c r="K98" s="11">
        <v>2902</v>
      </c>
      <c r="L98" s="11">
        <v>3.8356948618863518</v>
      </c>
    </row>
    <row r="99" spans="2:12" s="18" customFormat="1" ht="34.9" hidden="1" customHeight="1">
      <c r="B99" s="14">
        <v>38231</v>
      </c>
      <c r="C99" s="7">
        <v>5105.3</v>
      </c>
      <c r="D99" s="7">
        <v>5.9762527504463092</v>
      </c>
      <c r="E99" s="7">
        <v>2804</v>
      </c>
      <c r="F99" s="7">
        <v>-6.0447661171424745</v>
      </c>
      <c r="G99" s="7">
        <v>1505.3</v>
      </c>
      <c r="H99" s="7">
        <v>8.5840005770756669</v>
      </c>
      <c r="I99" s="7">
        <v>1792.5</v>
      </c>
      <c r="J99" s="7">
        <v>4.1001219583018722</v>
      </c>
      <c r="K99" s="7">
        <v>3068</v>
      </c>
      <c r="L99" s="7">
        <v>5.7201929703652565</v>
      </c>
    </row>
    <row r="100" spans="2:12" s="18" customFormat="1" ht="34.9" hidden="1" customHeight="1">
      <c r="B100" s="15">
        <v>38261</v>
      </c>
      <c r="C100" s="11">
        <v>5796.9</v>
      </c>
      <c r="D100" s="11">
        <v>13.546706363974682</v>
      </c>
      <c r="E100" s="11">
        <v>3029.1</v>
      </c>
      <c r="F100" s="11">
        <v>8.0278174037089922</v>
      </c>
      <c r="G100" s="11">
        <v>1637.4</v>
      </c>
      <c r="H100" s="11">
        <v>8.775659337009234</v>
      </c>
      <c r="I100" s="11">
        <v>1990</v>
      </c>
      <c r="J100" s="11">
        <v>11.018131101813111</v>
      </c>
      <c r="K100" s="11">
        <v>3436</v>
      </c>
      <c r="L100" s="11">
        <v>11.994784876140807</v>
      </c>
    </row>
    <row r="101" spans="2:12" s="18" customFormat="1" ht="34.9" hidden="1" customHeight="1">
      <c r="B101" s="14">
        <v>38292</v>
      </c>
      <c r="C101" s="7">
        <v>7116.3</v>
      </c>
      <c r="D101" s="7">
        <v>22.760440925322168</v>
      </c>
      <c r="E101" s="7">
        <v>3325.6</v>
      </c>
      <c r="F101" s="7">
        <v>9.7883859892377245</v>
      </c>
      <c r="G101" s="7">
        <v>1876.6</v>
      </c>
      <c r="H101" s="7">
        <v>14.608525711493826</v>
      </c>
      <c r="I101" s="7">
        <v>2309.4</v>
      </c>
      <c r="J101" s="7">
        <v>16.050251256281413</v>
      </c>
      <c r="K101" s="7">
        <v>4106</v>
      </c>
      <c r="L101" s="7">
        <v>19.49941792782306</v>
      </c>
    </row>
    <row r="102" spans="2:12" s="18" customFormat="1" ht="34.9" hidden="1" customHeight="1">
      <c r="B102" s="15">
        <v>38322</v>
      </c>
      <c r="C102" s="11">
        <v>7230.9</v>
      </c>
      <c r="D102" s="11">
        <v>1.610387420429138</v>
      </c>
      <c r="E102" s="11">
        <v>3726.9</v>
      </c>
      <c r="F102" s="11">
        <v>12.066995429396199</v>
      </c>
      <c r="G102" s="11">
        <v>1874.4</v>
      </c>
      <c r="H102" s="11">
        <v>-0.11723329425555873</v>
      </c>
      <c r="I102" s="11">
        <v>2527</v>
      </c>
      <c r="J102" s="11">
        <v>9.4223607863514367</v>
      </c>
      <c r="K102" s="11">
        <v>4245.6000000000004</v>
      </c>
      <c r="L102" s="11">
        <v>3.3999025815879325</v>
      </c>
    </row>
    <row r="103" spans="2:12" s="18" customFormat="1" ht="34.9" hidden="1" customHeight="1">
      <c r="B103" s="3">
        <v>2005</v>
      </c>
      <c r="C103" s="96"/>
      <c r="D103" s="96"/>
      <c r="E103" s="93"/>
      <c r="F103" s="93"/>
      <c r="G103" s="93"/>
      <c r="H103" s="93"/>
      <c r="I103" s="93"/>
      <c r="J103" s="93"/>
      <c r="K103" s="93"/>
      <c r="L103" s="93"/>
    </row>
    <row r="104" spans="2:12" s="18" customFormat="1" ht="34.9" hidden="1" customHeight="1">
      <c r="B104" s="14">
        <v>38353</v>
      </c>
      <c r="C104" s="7">
        <v>8895.1</v>
      </c>
      <c r="D104" s="7">
        <v>23.015115684078058</v>
      </c>
      <c r="E104" s="7">
        <v>4481.8999999999996</v>
      </c>
      <c r="F104" s="7">
        <v>20.25812337331292</v>
      </c>
      <c r="G104" s="7">
        <v>2063.8000000000002</v>
      </c>
      <c r="H104" s="7">
        <v>10.104566794707637</v>
      </c>
      <c r="I104" s="7">
        <v>2747.4</v>
      </c>
      <c r="J104" s="7">
        <v>8.7218045112781972</v>
      </c>
      <c r="K104" s="7">
        <v>4976.6000000000004</v>
      </c>
      <c r="L104" s="7">
        <v>17.217825513472775</v>
      </c>
    </row>
    <row r="105" spans="2:12" s="18" customFormat="1" ht="34.9" hidden="1" customHeight="1">
      <c r="B105" s="15">
        <v>38384</v>
      </c>
      <c r="C105" s="11">
        <v>8504.7000000000007</v>
      </c>
      <c r="D105" s="11">
        <v>-4.3889332329035025</v>
      </c>
      <c r="E105" s="11">
        <v>5002.2</v>
      </c>
      <c r="F105" s="11">
        <v>11.608915861576573</v>
      </c>
      <c r="G105" s="11">
        <v>2378.9</v>
      </c>
      <c r="H105" s="11">
        <v>15.267952320961321</v>
      </c>
      <c r="I105" s="11">
        <v>2888</v>
      </c>
      <c r="J105" s="11">
        <v>5.1175656984785656</v>
      </c>
      <c r="K105" s="11">
        <v>5025.6000000000004</v>
      </c>
      <c r="L105" s="11">
        <v>0.98460796527750638</v>
      </c>
    </row>
    <row r="106" spans="2:12" s="18" customFormat="1" ht="34.9" hidden="1" customHeight="1">
      <c r="B106" s="14">
        <v>38412</v>
      </c>
      <c r="C106" s="7">
        <v>9580.6</v>
      </c>
      <c r="D106" s="7">
        <v>12.650651992427719</v>
      </c>
      <c r="E106" s="7">
        <v>5823.1</v>
      </c>
      <c r="F106" s="7">
        <v>16.410779257126883</v>
      </c>
      <c r="G106" s="7">
        <v>2531.4</v>
      </c>
      <c r="H106" s="7">
        <v>6.410525873302797</v>
      </c>
      <c r="I106" s="7">
        <v>3032.8</v>
      </c>
      <c r="J106" s="7">
        <v>5.0138504155124775</v>
      </c>
      <c r="K106" s="7">
        <v>5514.4</v>
      </c>
      <c r="L106" s="7">
        <v>9.726201846545667</v>
      </c>
    </row>
    <row r="107" spans="2:12" s="18" customFormat="1" ht="34.9" hidden="1" customHeight="1">
      <c r="B107" s="15">
        <v>38443</v>
      </c>
      <c r="C107" s="11">
        <v>12598.1</v>
      </c>
      <c r="D107" s="11">
        <v>31.495939711500331</v>
      </c>
      <c r="E107" s="11">
        <v>6022</v>
      </c>
      <c r="F107" s="11">
        <v>3.4157064106747237</v>
      </c>
      <c r="G107" s="11">
        <v>3243.8</v>
      </c>
      <c r="H107" s="11">
        <v>28.142529825393069</v>
      </c>
      <c r="I107" s="11">
        <v>3125.7</v>
      </c>
      <c r="J107" s="11">
        <v>3.0631759430229444</v>
      </c>
      <c r="K107" s="11">
        <v>6813.4</v>
      </c>
      <c r="L107" s="11">
        <v>23.556506600899475</v>
      </c>
    </row>
    <row r="108" spans="2:12" s="18" customFormat="1" ht="34.9" hidden="1" customHeight="1">
      <c r="B108" s="14">
        <v>38473</v>
      </c>
      <c r="C108" s="7">
        <v>12062.7</v>
      </c>
      <c r="D108" s="7">
        <v>-4.2498471991808229</v>
      </c>
      <c r="E108" s="7">
        <v>6153.5</v>
      </c>
      <c r="F108" s="7">
        <v>2.183659913649949</v>
      </c>
      <c r="G108" s="7">
        <v>3366.9</v>
      </c>
      <c r="H108" s="7">
        <v>3.7949318700289725</v>
      </c>
      <c r="I108" s="7">
        <v>3076.5</v>
      </c>
      <c r="J108" s="7">
        <v>-1.574047413379398</v>
      </c>
      <c r="K108" s="7">
        <v>6657.4</v>
      </c>
      <c r="L108" s="7">
        <v>-2.2896057768514999</v>
      </c>
    </row>
    <row r="109" spans="2:12" s="18" customFormat="1" ht="34.9" hidden="1" customHeight="1">
      <c r="B109" s="15">
        <v>38504</v>
      </c>
      <c r="C109" s="11">
        <v>13494.4</v>
      </c>
      <c r="D109" s="11">
        <v>11.868818755336697</v>
      </c>
      <c r="E109" s="11">
        <v>7125.5</v>
      </c>
      <c r="F109" s="11">
        <v>15.795888518729173</v>
      </c>
      <c r="G109" s="11">
        <v>3801.5</v>
      </c>
      <c r="H109" s="11">
        <v>12.908016276099676</v>
      </c>
      <c r="I109" s="11">
        <v>3228.5</v>
      </c>
      <c r="J109" s="11">
        <v>4.9406793434097152</v>
      </c>
      <c r="K109" s="11">
        <v>7374.7</v>
      </c>
      <c r="L109" s="11">
        <v>10.774476522366093</v>
      </c>
    </row>
    <row r="110" spans="2:12" s="18" customFormat="1" ht="34.9" hidden="1" customHeight="1">
      <c r="B110" s="14">
        <v>38534</v>
      </c>
      <c r="C110" s="7">
        <v>15941.8</v>
      </c>
      <c r="D110" s="7">
        <v>18.136412141332702</v>
      </c>
      <c r="E110" s="7">
        <v>8038.1</v>
      </c>
      <c r="F110" s="7">
        <v>12.807522279138306</v>
      </c>
      <c r="G110" s="7">
        <v>3526.8</v>
      </c>
      <c r="H110" s="7">
        <v>-7.2260949625147948</v>
      </c>
      <c r="I110" s="7">
        <v>2995.7</v>
      </c>
      <c r="J110" s="7">
        <v>-7.2107789995353944</v>
      </c>
      <c r="K110" s="7">
        <v>8007.9</v>
      </c>
      <c r="L110" s="7">
        <v>8.5861119774363726</v>
      </c>
    </row>
    <row r="111" spans="2:12" s="18" customFormat="1" ht="34.9" hidden="1" customHeight="1">
      <c r="B111" s="15">
        <v>38565</v>
      </c>
      <c r="C111" s="11">
        <v>16052.8</v>
      </c>
      <c r="D111" s="11">
        <v>0.69628272842463534</v>
      </c>
      <c r="E111" s="11">
        <v>7510.7</v>
      </c>
      <c r="F111" s="11">
        <v>-6.561252037172971</v>
      </c>
      <c r="G111" s="11">
        <v>3536.9</v>
      </c>
      <c r="H111" s="11">
        <v>0.28637858682090123</v>
      </c>
      <c r="I111" s="11">
        <v>3267.7</v>
      </c>
      <c r="J111" s="11">
        <v>9.079680875922147</v>
      </c>
      <c r="K111" s="11">
        <v>8159.3</v>
      </c>
      <c r="L111" s="11">
        <v>1.8906329999125893</v>
      </c>
    </row>
    <row r="112" spans="2:12" s="18" customFormat="1" ht="34.9" hidden="1" customHeight="1">
      <c r="B112" s="14">
        <v>38596</v>
      </c>
      <c r="C112" s="7">
        <v>15086.1</v>
      </c>
      <c r="D112" s="7">
        <v>-6.0220023921060406</v>
      </c>
      <c r="E112" s="7">
        <v>7627.4</v>
      </c>
      <c r="F112" s="7">
        <v>1.553783269202591</v>
      </c>
      <c r="G112" s="7">
        <v>3521.7</v>
      </c>
      <c r="H112" s="7">
        <v>-0.42975487008397595</v>
      </c>
      <c r="I112" s="7">
        <v>3289.6</v>
      </c>
      <c r="J112" s="7">
        <v>0.67019616243841895</v>
      </c>
      <c r="K112" s="7">
        <v>7845.1</v>
      </c>
      <c r="L112" s="7">
        <v>-3.8508205360753944</v>
      </c>
    </row>
    <row r="113" spans="2:12" s="18" customFormat="1" ht="34.9" hidden="1" customHeight="1">
      <c r="B113" s="15">
        <v>38626</v>
      </c>
      <c r="C113" s="11">
        <v>16534.5</v>
      </c>
      <c r="D113" s="11">
        <v>9.6008908863125733</v>
      </c>
      <c r="E113" s="11">
        <v>7367.2</v>
      </c>
      <c r="F113" s="11">
        <v>-3.4113852688989699</v>
      </c>
      <c r="G113" s="11">
        <v>3604.9</v>
      </c>
      <c r="H113" s="11">
        <v>2.3624953857512176</v>
      </c>
      <c r="I113" s="11">
        <v>3122.4</v>
      </c>
      <c r="J113" s="11">
        <v>-5.0826848249027172</v>
      </c>
      <c r="K113" s="11">
        <v>8275.2999999999993</v>
      </c>
      <c r="L113" s="11">
        <v>5.4836777096531453</v>
      </c>
    </row>
    <row r="114" spans="2:12" s="18" customFormat="1" ht="34.9" hidden="1" customHeight="1">
      <c r="B114" s="14">
        <v>38657</v>
      </c>
      <c r="C114" s="7">
        <v>18963.099999999999</v>
      </c>
      <c r="D114" s="7">
        <v>14.688076446218501</v>
      </c>
      <c r="E114" s="7">
        <v>7691.1</v>
      </c>
      <c r="F114" s="7">
        <v>4.3965142795091783</v>
      </c>
      <c r="G114" s="7">
        <v>3644.4</v>
      </c>
      <c r="H114" s="7">
        <v>1.0957308108408004</v>
      </c>
      <c r="I114" s="7">
        <v>2997</v>
      </c>
      <c r="J114" s="7">
        <v>-4.0161414296694842</v>
      </c>
      <c r="K114" s="7">
        <v>9036.7999999999993</v>
      </c>
      <c r="L114" s="7">
        <v>9.2020833081580165</v>
      </c>
    </row>
    <row r="115" spans="2:12" s="18" customFormat="1" ht="34.9" hidden="1" customHeight="1">
      <c r="B115" s="15">
        <v>38687</v>
      </c>
      <c r="C115" s="11">
        <v>16892</v>
      </c>
      <c r="D115" s="11">
        <v>-10.921737479631489</v>
      </c>
      <c r="E115" s="11">
        <v>7382.4</v>
      </c>
      <c r="F115" s="11">
        <v>-4.0137301556344429</v>
      </c>
      <c r="G115" s="11">
        <v>3332.5</v>
      </c>
      <c r="H115" s="11">
        <v>-8.5583360772692352</v>
      </c>
      <c r="I115" s="11">
        <v>2903.4</v>
      </c>
      <c r="J115" s="11">
        <v>-3.1231231231231171</v>
      </c>
      <c r="K115" s="11">
        <v>8191.5</v>
      </c>
      <c r="L115" s="11">
        <v>-9.3539748583569278</v>
      </c>
    </row>
    <row r="116" spans="2:12" s="18" customFormat="1" ht="34.9" hidden="1" customHeight="1">
      <c r="B116" s="3">
        <v>2006</v>
      </c>
      <c r="C116" s="96"/>
      <c r="D116" s="96"/>
      <c r="E116" s="93"/>
      <c r="F116" s="93"/>
      <c r="G116" s="93"/>
      <c r="H116" s="93"/>
      <c r="I116" s="93"/>
      <c r="J116" s="93"/>
      <c r="K116" s="93"/>
      <c r="L116" s="93"/>
    </row>
    <row r="117" spans="2:12" s="18" customFormat="1" ht="34.9" hidden="1" customHeight="1">
      <c r="B117" s="14">
        <v>38718</v>
      </c>
      <c r="C117" s="7">
        <v>17714.400000000001</v>
      </c>
      <c r="D117" s="7">
        <v>4.8685768411082186</v>
      </c>
      <c r="E117" s="7">
        <v>7556.9</v>
      </c>
      <c r="F117" s="7">
        <v>2.363729952319038</v>
      </c>
      <c r="G117" s="7">
        <v>3419.1</v>
      </c>
      <c r="H117" s="7">
        <v>2.5986496624156086</v>
      </c>
      <c r="I117" s="7">
        <v>2987</v>
      </c>
      <c r="J117" s="7">
        <v>2.8793827925879922</v>
      </c>
      <c r="K117" s="7">
        <v>8530.5</v>
      </c>
      <c r="L117" s="7" t="s">
        <v>91</v>
      </c>
    </row>
    <row r="118" spans="2:12" s="18" customFormat="1" ht="34.9" hidden="1" customHeight="1">
      <c r="B118" s="15">
        <v>38749</v>
      </c>
      <c r="C118" s="11">
        <v>15374.3</v>
      </c>
      <c r="D118" s="11">
        <v>-13.21015670866641</v>
      </c>
      <c r="E118" s="11">
        <v>6922.5</v>
      </c>
      <c r="F118" s="11">
        <v>-8.394976776191287</v>
      </c>
      <c r="G118" s="11">
        <v>2963.2</v>
      </c>
      <c r="H118" s="11">
        <v>-13.333918282588986</v>
      </c>
      <c r="I118" s="11">
        <v>2910.5</v>
      </c>
      <c r="J118" s="11">
        <v>-2.561098091730829</v>
      </c>
      <c r="K118" s="11">
        <v>7555.5</v>
      </c>
      <c r="L118" s="11">
        <v>-11.429576226481453</v>
      </c>
    </row>
    <row r="119" spans="2:12" s="18" customFormat="1" ht="34.9" hidden="1" customHeight="1">
      <c r="B119" s="14">
        <v>38777</v>
      </c>
      <c r="C119" s="7">
        <v>14339.4</v>
      </c>
      <c r="D119" s="7">
        <v>-6.7313633791457157</v>
      </c>
      <c r="E119" s="7">
        <v>6482.2</v>
      </c>
      <c r="F119" s="7">
        <v>-6.3604189237992053</v>
      </c>
      <c r="G119" s="7">
        <v>2710.9</v>
      </c>
      <c r="H119" s="7">
        <v>-8.5144438444924369</v>
      </c>
      <c r="I119" s="7">
        <v>2821.8</v>
      </c>
      <c r="J119" s="7">
        <v>-3.0475863253736413</v>
      </c>
      <c r="K119" s="7">
        <v>7069.7</v>
      </c>
      <c r="L119" s="7">
        <v>-6.4297531599497031</v>
      </c>
    </row>
    <row r="120" spans="2:12" s="18" customFormat="1" ht="34.9" hidden="1" customHeight="1">
      <c r="B120" s="15">
        <v>38808</v>
      </c>
      <c r="C120" s="11">
        <v>14034.8</v>
      </c>
      <c r="D120" s="11">
        <v>-2.1242171917932429</v>
      </c>
      <c r="E120" s="11">
        <v>6124.5</v>
      </c>
      <c r="F120" s="11">
        <v>-5.5181882694147033</v>
      </c>
      <c r="G120" s="11">
        <v>3036.4</v>
      </c>
      <c r="H120" s="11">
        <v>12.007082518720713</v>
      </c>
      <c r="I120" s="11">
        <v>2714.7</v>
      </c>
      <c r="J120" s="11">
        <v>-3.7954497129491949</v>
      </c>
      <c r="K120" s="11">
        <v>7039.5</v>
      </c>
      <c r="L120" s="11">
        <v>-0.42717512765746424</v>
      </c>
    </row>
    <row r="121" spans="2:12" s="18" customFormat="1" ht="34.9" hidden="1" customHeight="1">
      <c r="B121" s="14">
        <v>38838</v>
      </c>
      <c r="C121" s="7">
        <v>13818.3</v>
      </c>
      <c r="D121" s="7">
        <v>-1.5425941231795304</v>
      </c>
      <c r="E121" s="7">
        <v>5722.4</v>
      </c>
      <c r="F121" s="7">
        <v>-6.5654339129724963</v>
      </c>
      <c r="G121" s="7">
        <v>3037.3</v>
      </c>
      <c r="H121" s="7">
        <v>2.9640363588456786E-2</v>
      </c>
      <c r="I121" s="7">
        <v>2607.1</v>
      </c>
      <c r="J121" s="7">
        <v>-3.9636055549416072</v>
      </c>
      <c r="K121" s="7">
        <v>6918.7</v>
      </c>
      <c r="L121" s="7">
        <v>-1.7160309681085284</v>
      </c>
    </row>
    <row r="122" spans="2:12" s="18" customFormat="1" ht="34.9" hidden="1" customHeight="1">
      <c r="B122" s="15">
        <v>38869</v>
      </c>
      <c r="C122" s="11">
        <v>12132</v>
      </c>
      <c r="D122" s="11">
        <v>-12.203382471070967</v>
      </c>
      <c r="E122" s="11">
        <v>5305.8</v>
      </c>
      <c r="F122" s="11">
        <v>-7.2801621697189844</v>
      </c>
      <c r="G122" s="11">
        <v>2509.9</v>
      </c>
      <c r="H122" s="11">
        <v>-17.364106278602708</v>
      </c>
      <c r="I122" s="11">
        <v>2376.1999999999998</v>
      </c>
      <c r="J122" s="11">
        <v>-8.8565839438456528</v>
      </c>
      <c r="K122" s="11">
        <v>6055</v>
      </c>
      <c r="L122" s="11">
        <v>-12.483559050110571</v>
      </c>
    </row>
    <row r="123" spans="2:12" s="18" customFormat="1" ht="34.9" hidden="1" customHeight="1">
      <c r="B123" s="14">
        <v>38899</v>
      </c>
      <c r="C123" s="7">
        <v>11691.8</v>
      </c>
      <c r="D123" s="7">
        <v>-3.6284207055720441</v>
      </c>
      <c r="E123" s="7">
        <v>5170.8999999999996</v>
      </c>
      <c r="F123" s="7">
        <v>-2.5425006596554778</v>
      </c>
      <c r="G123" s="7">
        <v>2536.6</v>
      </c>
      <c r="H123" s="7">
        <v>1.0637874018885052</v>
      </c>
      <c r="I123" s="7">
        <v>2424.8000000000002</v>
      </c>
      <c r="J123" s="7">
        <v>2.0452823836377476</v>
      </c>
      <c r="K123" s="7">
        <v>5930.3</v>
      </c>
      <c r="L123" s="7">
        <v>-2.0594549958711794</v>
      </c>
    </row>
    <row r="124" spans="2:12" s="18" customFormat="1" ht="34.9" hidden="1" customHeight="1">
      <c r="B124" s="15">
        <v>38930</v>
      </c>
      <c r="C124" s="11">
        <v>12296.5</v>
      </c>
      <c r="D124" s="11">
        <v>5.1720008895123071</v>
      </c>
      <c r="E124" s="11">
        <v>4943.8999999999996</v>
      </c>
      <c r="F124" s="11">
        <v>-4.3899514591270394</v>
      </c>
      <c r="G124" s="11">
        <v>2666.15</v>
      </c>
      <c r="H124" s="11">
        <v>5.1072301505952877</v>
      </c>
      <c r="I124" s="11">
        <v>2581</v>
      </c>
      <c r="J124" s="11">
        <v>6.4417683932695313</v>
      </c>
      <c r="K124" s="11">
        <v>6241.3</v>
      </c>
      <c r="L124" s="11">
        <v>5.2442540849535479</v>
      </c>
    </row>
    <row r="125" spans="2:12" s="18" customFormat="1" ht="34.9" hidden="1" customHeight="1">
      <c r="B125" s="14">
        <v>38961</v>
      </c>
      <c r="C125" s="7">
        <v>11960.2</v>
      </c>
      <c r="D125" s="7">
        <v>-2.734924572032682</v>
      </c>
      <c r="E125" s="7">
        <v>4704</v>
      </c>
      <c r="F125" s="7">
        <v>-4.8524444264649302</v>
      </c>
      <c r="G125" s="7">
        <v>2577.9</v>
      </c>
      <c r="H125" s="7">
        <v>-3.3100163156611573</v>
      </c>
      <c r="I125" s="7">
        <v>2564.8000000000002</v>
      </c>
      <c r="J125" s="7">
        <v>-0.62766369624176477</v>
      </c>
      <c r="K125" s="7">
        <v>6084.3</v>
      </c>
      <c r="L125" s="7">
        <v>-2.5155015781968548</v>
      </c>
    </row>
    <row r="126" spans="2:12" s="18" customFormat="1" ht="34.9" hidden="1" customHeight="1">
      <c r="B126" s="15">
        <v>38991</v>
      </c>
      <c r="C126" s="11">
        <v>12078.5</v>
      </c>
      <c r="D126" s="11">
        <v>0.98911389441647124</v>
      </c>
      <c r="E126" s="11">
        <v>4902.6000000000004</v>
      </c>
      <c r="F126" s="11">
        <v>4.2219387755102034</v>
      </c>
      <c r="G126" s="11">
        <v>2588</v>
      </c>
      <c r="H126" s="11">
        <v>0.39179176849373221</v>
      </c>
      <c r="I126" s="11">
        <v>2502.9</v>
      </c>
      <c r="J126" s="11">
        <v>-2.4134435433562085</v>
      </c>
      <c r="K126" s="11">
        <v>6107.6</v>
      </c>
      <c r="L126" s="11">
        <v>0.38295284584914935</v>
      </c>
    </row>
    <row r="127" spans="2:12" s="18" customFormat="1" ht="34.9" hidden="1" customHeight="1">
      <c r="B127" s="14">
        <v>39022</v>
      </c>
      <c r="C127" s="7">
        <v>10908.5</v>
      </c>
      <c r="D127" s="7">
        <v>-9.6866332739992558</v>
      </c>
      <c r="E127" s="7">
        <v>4433.1000000000004</v>
      </c>
      <c r="F127" s="7">
        <v>-9.5765512177212067</v>
      </c>
      <c r="G127" s="7">
        <v>2387.8000000000002</v>
      </c>
      <c r="H127" s="7">
        <v>-7.7357032457496029</v>
      </c>
      <c r="I127" s="7">
        <v>2451.6999999999998</v>
      </c>
      <c r="J127" s="7">
        <v>-2.0456270725958015</v>
      </c>
      <c r="K127" s="7">
        <v>5607.7</v>
      </c>
      <c r="L127" s="7">
        <v>-8.1848844063134525</v>
      </c>
    </row>
    <row r="128" spans="2:12" s="18" customFormat="1" ht="34.9" hidden="1" customHeight="1">
      <c r="B128" s="15">
        <v>39052</v>
      </c>
      <c r="C128" s="11">
        <v>10704.7</v>
      </c>
      <c r="D128" s="11">
        <v>-1.8682678645093209</v>
      </c>
      <c r="E128" s="11">
        <v>4156.3</v>
      </c>
      <c r="F128" s="11">
        <v>-6.2439376508538036</v>
      </c>
      <c r="G128" s="11">
        <v>2286.6</v>
      </c>
      <c r="H128" s="11">
        <v>-4.2382109054359791</v>
      </c>
      <c r="I128" s="11">
        <v>2507.6</v>
      </c>
      <c r="J128" s="11">
        <v>2.2800505771505497</v>
      </c>
      <c r="K128" s="11">
        <v>5518.1</v>
      </c>
      <c r="L128" s="11">
        <v>-1.5978030208463223</v>
      </c>
    </row>
    <row r="129" spans="2:12" s="18" customFormat="1" ht="34.9" hidden="1" customHeight="1">
      <c r="B129" s="3">
        <v>2007</v>
      </c>
      <c r="C129" s="96"/>
      <c r="D129" s="96"/>
      <c r="E129" s="93"/>
      <c r="F129" s="93"/>
      <c r="G129" s="93"/>
      <c r="H129" s="93"/>
      <c r="I129" s="93"/>
      <c r="J129" s="93"/>
      <c r="K129" s="93"/>
      <c r="L129" s="93"/>
    </row>
    <row r="130" spans="2:12" s="18" customFormat="1" ht="34.9" hidden="1" customHeight="1">
      <c r="B130" s="14">
        <v>39083</v>
      </c>
      <c r="C130" s="7">
        <v>12149.7</v>
      </c>
      <c r="D130" s="7">
        <v>13.498743542556069</v>
      </c>
      <c r="E130" s="7">
        <v>4434.2</v>
      </c>
      <c r="F130" s="7">
        <v>6.6862353535596553</v>
      </c>
      <c r="G130" s="7">
        <v>2455.5</v>
      </c>
      <c r="H130" s="7">
        <v>7.3865127263185615</v>
      </c>
      <c r="I130" s="7">
        <v>2740</v>
      </c>
      <c r="J130" s="7">
        <v>9.2678258095389978</v>
      </c>
      <c r="K130" s="7">
        <v>6145.7</v>
      </c>
      <c r="L130" s="7">
        <v>11.373480002174642</v>
      </c>
    </row>
    <row r="131" spans="2:12" s="18" customFormat="1" ht="34.9" hidden="1" customHeight="1">
      <c r="B131" s="15">
        <v>39114</v>
      </c>
      <c r="C131" s="11">
        <v>12979.5</v>
      </c>
      <c r="D131" s="11">
        <v>6.8297982666238655</v>
      </c>
      <c r="E131" s="11">
        <v>4588.7</v>
      </c>
      <c r="F131" s="11">
        <v>3.4842812683234747</v>
      </c>
      <c r="G131" s="11">
        <v>2622.3</v>
      </c>
      <c r="H131" s="11">
        <v>6.7929138668295641</v>
      </c>
      <c r="I131" s="11">
        <v>2876.3</v>
      </c>
      <c r="J131" s="11">
        <v>4.9744525547445351</v>
      </c>
      <c r="K131" s="11">
        <v>6543.7</v>
      </c>
      <c r="L131" s="11">
        <v>6.4760727012382668</v>
      </c>
    </row>
    <row r="132" spans="2:12" s="18" customFormat="1" ht="34.9" hidden="1" customHeight="1">
      <c r="B132" s="14">
        <v>39142</v>
      </c>
      <c r="C132" s="7">
        <v>11969.1</v>
      </c>
      <c r="D132" s="7">
        <v>-7.784583381486188</v>
      </c>
      <c r="E132" s="7">
        <v>4513.7</v>
      </c>
      <c r="F132" s="7">
        <v>-1.6344498441824507</v>
      </c>
      <c r="G132" s="7">
        <v>2542.9</v>
      </c>
      <c r="H132" s="7">
        <v>-3.0278762918049096</v>
      </c>
      <c r="I132" s="7">
        <v>2781.5</v>
      </c>
      <c r="J132" s="7">
        <v>-3.295900983902933</v>
      </c>
      <c r="K132" s="7">
        <v>6148.7</v>
      </c>
      <c r="L132" s="7">
        <v>-6.036340296774001</v>
      </c>
    </row>
    <row r="133" spans="2:12" s="18" customFormat="1" ht="34.9" hidden="1" customHeight="1">
      <c r="B133" s="15">
        <v>39173</v>
      </c>
      <c r="C133" s="11">
        <v>11629.5</v>
      </c>
      <c r="D133" s="11">
        <v>-2.8373060631125213</v>
      </c>
      <c r="E133" s="11">
        <v>4397.3999999999996</v>
      </c>
      <c r="F133" s="11">
        <v>-2.5766001284976858</v>
      </c>
      <c r="G133" s="11">
        <v>2404.3000000000002</v>
      </c>
      <c r="H133" s="11">
        <v>-5.4504699358999487</v>
      </c>
      <c r="I133" s="11">
        <v>2783.1</v>
      </c>
      <c r="J133" s="11">
        <v>5.752291928815545E-2</v>
      </c>
      <c r="K133" s="11">
        <v>5971</v>
      </c>
      <c r="L133" s="11">
        <v>-2.8900417974531134</v>
      </c>
    </row>
    <row r="134" spans="2:12" s="18" customFormat="1" ht="34.9" hidden="1" customHeight="1">
      <c r="B134" s="14">
        <v>39203</v>
      </c>
      <c r="C134" s="7">
        <v>11129.4</v>
      </c>
      <c r="D134" s="7">
        <v>-4.3002708628917858</v>
      </c>
      <c r="E134" s="7">
        <v>4394.8999999999996</v>
      </c>
      <c r="F134" s="7">
        <v>-5.6851776049482439E-2</v>
      </c>
      <c r="G134" s="7">
        <v>2424.4</v>
      </c>
      <c r="H134" s="7">
        <v>0.83600216279167139</v>
      </c>
      <c r="I134" s="7">
        <v>2803</v>
      </c>
      <c r="J134" s="7">
        <v>0.71503000251518234</v>
      </c>
      <c r="K134" s="7">
        <v>5831.1</v>
      </c>
      <c r="L134" s="7">
        <v>-2.3429911237648593</v>
      </c>
    </row>
    <row r="135" spans="2:12" s="18" customFormat="1" ht="34.9" hidden="1" customHeight="1">
      <c r="B135" s="15">
        <v>39234</v>
      </c>
      <c r="C135" s="11">
        <v>10774</v>
      </c>
      <c r="D135" s="11">
        <v>-3.1933437561773248</v>
      </c>
      <c r="E135" s="11">
        <v>4664.1000000000004</v>
      </c>
      <c r="F135" s="11">
        <v>6.1252815763726209</v>
      </c>
      <c r="G135" s="11">
        <v>2427</v>
      </c>
      <c r="H135" s="11">
        <v>0.10724302920310791</v>
      </c>
      <c r="I135" s="11">
        <v>2902.1</v>
      </c>
      <c r="J135" s="11">
        <v>3.5354976810560101</v>
      </c>
      <c r="K135" s="11">
        <v>5761.7</v>
      </c>
      <c r="L135" s="11">
        <v>-1.1901699507811614</v>
      </c>
    </row>
    <row r="136" spans="2:12" s="18" customFormat="1" ht="34.9" hidden="1" customHeight="1">
      <c r="B136" s="14">
        <v>39264</v>
      </c>
      <c r="C136" s="7">
        <v>10551.2</v>
      </c>
      <c r="D136" s="7">
        <v>-2.0679413402635904</v>
      </c>
      <c r="E136" s="7">
        <v>4505.8999999999996</v>
      </c>
      <c r="F136" s="7">
        <v>-3.3918655260393393</v>
      </c>
      <c r="G136" s="7">
        <v>2417</v>
      </c>
      <c r="H136" s="7">
        <v>-0.41203131437989038</v>
      </c>
      <c r="I136" s="7">
        <v>2902.3</v>
      </c>
      <c r="J136" s="7">
        <v>6.891561283217662E-3</v>
      </c>
      <c r="K136" s="7">
        <v>5684.2</v>
      </c>
      <c r="L136" s="7">
        <v>-1.3450891230018969</v>
      </c>
    </row>
    <row r="137" spans="2:12" s="18" customFormat="1" ht="34.9" hidden="1" customHeight="1">
      <c r="B137" s="15">
        <v>39295</v>
      </c>
      <c r="C137" s="11">
        <v>10439.4</v>
      </c>
      <c r="D137" s="11">
        <v>-1.0595951171430862</v>
      </c>
      <c r="E137" s="11">
        <v>4573.3999999999996</v>
      </c>
      <c r="F137" s="11">
        <v>1.4980359084755479</v>
      </c>
      <c r="G137" s="11">
        <v>2371.4</v>
      </c>
      <c r="H137" s="11">
        <v>-1.8866363260239938</v>
      </c>
      <c r="I137" s="11">
        <v>2855</v>
      </c>
      <c r="J137" s="11">
        <v>-1.6297419288150872</v>
      </c>
      <c r="K137" s="11">
        <v>5609.6</v>
      </c>
      <c r="L137" s="11">
        <v>-1.3124098377959914</v>
      </c>
    </row>
    <row r="138" spans="2:12" s="18" customFormat="1" ht="34.9" hidden="1" customHeight="1">
      <c r="B138" s="14">
        <v>39326</v>
      </c>
      <c r="C138" s="7">
        <v>10535.1</v>
      </c>
      <c r="D138" s="7">
        <v>0.91671935168688989</v>
      </c>
      <c r="E138" s="7">
        <v>4702.3</v>
      </c>
      <c r="F138" s="7">
        <v>2.8184720339353708</v>
      </c>
      <c r="G138" s="7">
        <v>2445.6</v>
      </c>
      <c r="H138" s="7">
        <v>3.1289533608838571</v>
      </c>
      <c r="I138" s="7">
        <v>2985.9</v>
      </c>
      <c r="J138" s="7">
        <v>4.5849387040280298</v>
      </c>
      <c r="K138" s="7">
        <v>5726.6</v>
      </c>
      <c r="L138" s="7">
        <v>2.085710211066738</v>
      </c>
    </row>
    <row r="139" spans="2:12" s="18" customFormat="1" ht="34.9" hidden="1" customHeight="1">
      <c r="B139" s="15">
        <v>39356</v>
      </c>
      <c r="C139" s="11">
        <v>12631.5</v>
      </c>
      <c r="D139" s="11">
        <v>19.89919412250476</v>
      </c>
      <c r="E139" s="11">
        <v>4593.3</v>
      </c>
      <c r="F139" s="11">
        <v>-2.318014588605577</v>
      </c>
      <c r="G139" s="11">
        <v>2642.6</v>
      </c>
      <c r="H139" s="11">
        <v>8.0552829571475257</v>
      </c>
      <c r="I139" s="11">
        <v>3533.6</v>
      </c>
      <c r="J139" s="11">
        <v>18.342878194179303</v>
      </c>
      <c r="K139" s="11">
        <v>6688.2</v>
      </c>
      <c r="L139" s="11">
        <v>16.791813641602339</v>
      </c>
    </row>
    <row r="140" spans="2:12" s="18" customFormat="1" ht="34.9" hidden="1" customHeight="1">
      <c r="B140" s="14">
        <v>39387</v>
      </c>
      <c r="C140" s="7">
        <v>13556.7</v>
      </c>
      <c r="D140" s="7">
        <v>7.324545778411129</v>
      </c>
      <c r="E140" s="7">
        <v>4650.1000000000004</v>
      </c>
      <c r="F140" s="7">
        <v>1.2365837197657603</v>
      </c>
      <c r="G140" s="7">
        <v>2647.1</v>
      </c>
      <c r="H140" s="7">
        <v>0.17028683871944672</v>
      </c>
      <c r="I140" s="7">
        <v>3536.2</v>
      </c>
      <c r="J140" s="7">
        <v>7.3579352501695894E-2</v>
      </c>
      <c r="K140" s="7">
        <v>6984.1</v>
      </c>
      <c r="L140" s="7">
        <v>4.4242098023384635</v>
      </c>
    </row>
    <row r="141" spans="2:12" s="18" customFormat="1" ht="34.9" hidden="1" customHeight="1">
      <c r="B141" s="15">
        <v>39417</v>
      </c>
      <c r="C141" s="11">
        <v>13886.7</v>
      </c>
      <c r="D141" s="11">
        <v>2.4342207174312236</v>
      </c>
      <c r="E141" s="11">
        <v>4900.3999999999996</v>
      </c>
      <c r="F141" s="11">
        <v>5.3826799423668081</v>
      </c>
      <c r="G141" s="11">
        <v>2740.3</v>
      </c>
      <c r="H141" s="11">
        <v>3.5208341203581295</v>
      </c>
      <c r="I141" s="11">
        <v>4565.5</v>
      </c>
      <c r="J141" s="11">
        <v>29.107516543181955</v>
      </c>
      <c r="K141" s="11">
        <v>7519.3</v>
      </c>
      <c r="L141" s="11">
        <v>7.6631205166019845</v>
      </c>
    </row>
    <row r="142" spans="2:12" s="18" customFormat="1" ht="34.9" hidden="1" customHeight="1">
      <c r="B142" s="3">
        <v>2008</v>
      </c>
      <c r="C142" s="96"/>
      <c r="D142" s="96"/>
      <c r="E142" s="93"/>
      <c r="F142" s="93"/>
      <c r="G142" s="93"/>
      <c r="H142" s="93"/>
      <c r="I142" s="93"/>
      <c r="J142" s="93"/>
      <c r="K142" s="93"/>
      <c r="L142" s="93"/>
    </row>
    <row r="143" spans="2:12" s="18" customFormat="1" ht="34.9" hidden="1" customHeight="1">
      <c r="B143" s="14">
        <v>39448</v>
      </c>
      <c r="C143" s="7">
        <v>14396.1</v>
      </c>
      <c r="D143" s="7">
        <v>3.6682581174793061</v>
      </c>
      <c r="E143" s="7">
        <v>4914.3</v>
      </c>
      <c r="F143" s="7">
        <v>0.28365031426007548</v>
      </c>
      <c r="G143" s="7">
        <v>2824.5</v>
      </c>
      <c r="H143" s="7">
        <v>3.0726562785096556</v>
      </c>
      <c r="I143" s="7">
        <v>4839.2</v>
      </c>
      <c r="J143" s="7">
        <v>5.9949622166246774</v>
      </c>
      <c r="K143" s="7">
        <v>7824.3</v>
      </c>
      <c r="L143" s="7">
        <v>4.0562286383041046</v>
      </c>
    </row>
    <row r="144" spans="2:12" s="18" customFormat="1" ht="34.9" hidden="1" customHeight="1">
      <c r="B144" s="15">
        <v>39479</v>
      </c>
      <c r="C144" s="11">
        <v>14666.5</v>
      </c>
      <c r="D144" s="11">
        <v>1.8782864803662092</v>
      </c>
      <c r="E144" s="11">
        <v>4753.7</v>
      </c>
      <c r="F144" s="11">
        <v>-3.2680137557739686</v>
      </c>
      <c r="G144" s="11">
        <v>2887.8</v>
      </c>
      <c r="H144" s="11">
        <v>2.2411046202867935</v>
      </c>
      <c r="I144" s="11">
        <v>6275.2</v>
      </c>
      <c r="J144" s="11">
        <v>29.67432633493139</v>
      </c>
      <c r="K144" s="11">
        <v>8463</v>
      </c>
      <c r="L144" s="11">
        <v>8.1630305586442233</v>
      </c>
    </row>
    <row r="145" spans="2:12" s="18" customFormat="1" ht="34.9" hidden="1" customHeight="1">
      <c r="B145" s="14">
        <v>39508</v>
      </c>
      <c r="C145" s="7">
        <v>13082.4</v>
      </c>
      <c r="D145" s="7">
        <v>-10.80080455459721</v>
      </c>
      <c r="E145" s="7">
        <v>4488.8</v>
      </c>
      <c r="F145" s="7">
        <v>-5.5725014199465628</v>
      </c>
      <c r="G145" s="7">
        <v>2805.2</v>
      </c>
      <c r="H145" s="7">
        <v>-2.8603088856569148</v>
      </c>
      <c r="I145" s="7">
        <v>6695.2</v>
      </c>
      <c r="J145" s="7">
        <v>6.6930137684854563</v>
      </c>
      <c r="K145" s="7">
        <v>8067.9</v>
      </c>
      <c r="L145" s="7">
        <v>-4.6685572492024097</v>
      </c>
    </row>
    <row r="146" spans="2:12" s="18" customFormat="1" ht="34.9" hidden="1" customHeight="1">
      <c r="B146" s="15">
        <v>39539</v>
      </c>
      <c r="C146" s="11">
        <v>13317.6</v>
      </c>
      <c r="D146" s="11">
        <v>1.7978352595854119</v>
      </c>
      <c r="E146" s="11">
        <v>4441.1000000000004</v>
      </c>
      <c r="F146" s="11">
        <v>-1.0626448048476123</v>
      </c>
      <c r="G146" s="11">
        <v>2878.3</v>
      </c>
      <c r="H146" s="11">
        <v>2.6058748039355706</v>
      </c>
      <c r="I146" s="11">
        <v>8197.7000000000007</v>
      </c>
      <c r="J146" s="11">
        <v>22.441450591468538</v>
      </c>
      <c r="K146" s="11">
        <v>8711.6</v>
      </c>
      <c r="L146" s="11">
        <v>7.9785322078855803</v>
      </c>
    </row>
    <row r="147" spans="2:12" s="18" customFormat="1" ht="34.9" hidden="1" customHeight="1">
      <c r="B147" s="14">
        <v>39569</v>
      </c>
      <c r="C147" s="7">
        <v>14200.4</v>
      </c>
      <c r="D147" s="7">
        <v>6.6288220099717687</v>
      </c>
      <c r="E147" s="7">
        <v>4603.1000000000004</v>
      </c>
      <c r="F147" s="7">
        <v>3.6477449280583718</v>
      </c>
      <c r="G147" s="7">
        <v>3009.6</v>
      </c>
      <c r="H147" s="7">
        <v>4.5617204599937455</v>
      </c>
      <c r="I147" s="7">
        <v>8872.9</v>
      </c>
      <c r="J147" s="7">
        <v>8.2364565670858703</v>
      </c>
      <c r="K147" s="7">
        <v>9300.7999999999993</v>
      </c>
      <c r="L147" s="7">
        <v>6.7633959318609493</v>
      </c>
    </row>
    <row r="148" spans="2:12" s="18" customFormat="1" ht="34.9" hidden="1" customHeight="1">
      <c r="B148" s="15">
        <v>39600</v>
      </c>
      <c r="C148" s="11">
        <v>15451.3</v>
      </c>
      <c r="D148" s="11">
        <v>8.8089067913579946</v>
      </c>
      <c r="E148" s="11">
        <v>5297.7</v>
      </c>
      <c r="F148" s="11">
        <v>15.089830766222745</v>
      </c>
      <c r="G148" s="11">
        <v>3059.8</v>
      </c>
      <c r="H148" s="11">
        <v>1.6679957469431184</v>
      </c>
      <c r="I148" s="11">
        <v>11032.5</v>
      </c>
      <c r="J148" s="11">
        <v>24.339280280404374</v>
      </c>
      <c r="K148" s="11">
        <v>10490.8</v>
      </c>
      <c r="L148" s="11">
        <v>12.794598314123506</v>
      </c>
    </row>
    <row r="149" spans="2:12" s="18" customFormat="1" ht="34.9" hidden="1" customHeight="1">
      <c r="B149" s="14">
        <v>39630</v>
      </c>
      <c r="C149" s="7">
        <v>16132</v>
      </c>
      <c r="D149" s="7">
        <v>4.4054545572217219</v>
      </c>
      <c r="E149" s="7">
        <v>4857</v>
      </c>
      <c r="F149" s="7">
        <v>-8.3187043433943018</v>
      </c>
      <c r="G149" s="7">
        <v>2960.1</v>
      </c>
      <c r="H149" s="7">
        <v>-3.2583829008432041</v>
      </c>
      <c r="I149" s="7">
        <v>10341.4</v>
      </c>
      <c r="J149" s="7">
        <v>-6.2642193519148019</v>
      </c>
      <c r="K149" s="7">
        <v>10398.9</v>
      </c>
      <c r="L149" s="7">
        <v>-0.87600564303961237</v>
      </c>
    </row>
    <row r="150" spans="2:12" s="18" customFormat="1" ht="34.9" hidden="1" customHeight="1">
      <c r="B150" s="15">
        <v>39661</v>
      </c>
      <c r="C150" s="11">
        <v>15547.7</v>
      </c>
      <c r="D150" s="11">
        <v>-3.6219935531862091</v>
      </c>
      <c r="E150" s="11">
        <v>4852</v>
      </c>
      <c r="F150" s="11">
        <v>-0.10294420424130646</v>
      </c>
      <c r="G150" s="11">
        <v>2902.7</v>
      </c>
      <c r="H150" s="11">
        <v>-1.9391236782541177</v>
      </c>
      <c r="I150" s="11">
        <v>8558.74</v>
      </c>
      <c r="J150" s="11">
        <v>-17.238091554335</v>
      </c>
      <c r="K150" s="11">
        <v>9553.2999999999993</v>
      </c>
      <c r="L150" s="11">
        <v>-8.131629306945932</v>
      </c>
    </row>
    <row r="151" spans="2:12" s="18" customFormat="1" ht="34.9" hidden="1" customHeight="1">
      <c r="B151" s="14">
        <v>39692</v>
      </c>
      <c r="C151" s="7">
        <v>14408.6</v>
      </c>
      <c r="D151" s="7">
        <v>-7.3264855895084136</v>
      </c>
      <c r="E151" s="7">
        <v>4847</v>
      </c>
      <c r="F151" s="7">
        <v>-0.10305028854080689</v>
      </c>
      <c r="G151" s="7">
        <v>2685.7</v>
      </c>
      <c r="H151" s="7">
        <v>-7.4757983945981321</v>
      </c>
      <c r="I151" s="7">
        <v>7915.7</v>
      </c>
      <c r="J151" s="7">
        <v>-7.5132554558264397</v>
      </c>
      <c r="K151" s="7">
        <v>8846.2000000000007</v>
      </c>
      <c r="L151" s="7">
        <v>-7.4016308500727384</v>
      </c>
    </row>
    <row r="152" spans="2:12" s="18" customFormat="1" ht="34.9" hidden="1" customHeight="1">
      <c r="B152" s="15">
        <v>39722</v>
      </c>
      <c r="C152" s="11">
        <v>12814.4</v>
      </c>
      <c r="D152" s="11">
        <v>-11.1</v>
      </c>
      <c r="E152" s="11">
        <v>4290.22</v>
      </c>
      <c r="F152" s="11">
        <v>-11.487105426036715</v>
      </c>
      <c r="G152" s="11">
        <v>2199.16</v>
      </c>
      <c r="H152" s="11">
        <v>-18.12</v>
      </c>
      <c r="I152" s="11">
        <v>4762.4799999999996</v>
      </c>
      <c r="J152" s="11">
        <v>-39.840000000000003</v>
      </c>
      <c r="K152" s="11">
        <v>6955.63</v>
      </c>
      <c r="L152" s="11">
        <v>-21.371549365829402</v>
      </c>
    </row>
    <row r="153" spans="2:12" s="18" customFormat="1" ht="34.9" hidden="1" customHeight="1">
      <c r="B153" s="14">
        <v>39753</v>
      </c>
      <c r="C153" s="7">
        <v>10941.31</v>
      </c>
      <c r="D153" s="7">
        <v>-14.617071419652895</v>
      </c>
      <c r="E153" s="7">
        <v>3911.75</v>
      </c>
      <c r="F153" s="7">
        <v>-8.8216921276764388</v>
      </c>
      <c r="G153" s="7">
        <v>1949.45</v>
      </c>
      <c r="H153" s="7">
        <v>-11.354790010731364</v>
      </c>
      <c r="I153" s="7">
        <v>4300.74</v>
      </c>
      <c r="J153" s="7">
        <v>-9.6953687994490227</v>
      </c>
      <c r="K153" s="7">
        <v>6065.67</v>
      </c>
      <c r="L153" s="7">
        <v>-12.794815135365168</v>
      </c>
    </row>
    <row r="154" spans="2:12" s="18" customFormat="1" ht="34.9" hidden="1" customHeight="1">
      <c r="B154" s="15">
        <v>39783</v>
      </c>
      <c r="C154" s="11">
        <v>11380.1</v>
      </c>
      <c r="D154" s="11">
        <v>4.0103972924631597</v>
      </c>
      <c r="E154" s="11">
        <v>3821.3</v>
      </c>
      <c r="F154" s="11">
        <v>-2.3122643318207903</v>
      </c>
      <c r="G154" s="11">
        <v>1865.6</v>
      </c>
      <c r="H154" s="11">
        <v>-4.3012131626869188</v>
      </c>
      <c r="I154" s="11">
        <v>4560.1000000000004</v>
      </c>
      <c r="J154" s="11">
        <v>6.030590084497101</v>
      </c>
      <c r="K154" s="11">
        <v>6243.1</v>
      </c>
      <c r="L154" s="11">
        <v>2.92515089017372</v>
      </c>
    </row>
    <row r="155" spans="2:12" s="18" customFormat="1" ht="34.9" hidden="1" customHeight="1">
      <c r="B155" s="3">
        <v>2009</v>
      </c>
      <c r="C155" s="96"/>
      <c r="D155" s="96"/>
      <c r="E155" s="93"/>
      <c r="F155" s="93"/>
      <c r="G155" s="93"/>
      <c r="H155" s="93"/>
      <c r="I155" s="93"/>
      <c r="J155" s="93"/>
      <c r="K155" s="93"/>
      <c r="L155" s="93"/>
    </row>
    <row r="156" spans="2:12" s="18" customFormat="1" ht="34.9" hidden="1" customHeight="1">
      <c r="B156" s="14">
        <v>39814</v>
      </c>
      <c r="C156" s="7">
        <v>10517.2</v>
      </c>
      <c r="D156" s="7">
        <v>-7.5825344241263224</v>
      </c>
      <c r="E156" s="7">
        <v>3894.5</v>
      </c>
      <c r="F156" s="7">
        <v>1.9155784680606081</v>
      </c>
      <c r="G156" s="7">
        <v>1817.4</v>
      </c>
      <c r="H156" s="7">
        <v>-2.5836192109776919</v>
      </c>
      <c r="I156" s="7">
        <v>4624.3999999999996</v>
      </c>
      <c r="J156" s="7">
        <v>1.4100567970000497</v>
      </c>
      <c r="K156" s="7">
        <v>5971</v>
      </c>
      <c r="L156" s="7">
        <v>-4.3584116865019036</v>
      </c>
    </row>
    <row r="157" spans="2:12" s="18" customFormat="1" ht="34.9" hidden="1" customHeight="1">
      <c r="B157" s="15">
        <v>39845</v>
      </c>
      <c r="C157" s="11">
        <v>9654.7000000000007</v>
      </c>
      <c r="D157" s="11">
        <v>-8.2008519377781202</v>
      </c>
      <c r="E157" s="11">
        <v>4355.2</v>
      </c>
      <c r="F157" s="11">
        <v>11.82950314546154</v>
      </c>
      <c r="G157" s="11">
        <v>1825.8</v>
      </c>
      <c r="H157" s="11">
        <v>0.46219874546054029</v>
      </c>
      <c r="I157" s="11">
        <v>4360.5</v>
      </c>
      <c r="J157" s="11">
        <v>-5.7066862728137657</v>
      </c>
      <c r="K157" s="11">
        <v>5619.7</v>
      </c>
      <c r="L157" s="11">
        <v>-5.8834366102830327</v>
      </c>
    </row>
    <row r="158" spans="2:12" s="18" customFormat="1" ht="34.9" hidden="1" customHeight="1">
      <c r="B158" s="14">
        <v>39873</v>
      </c>
      <c r="C158" s="7">
        <v>9129.48</v>
      </c>
      <c r="D158" s="7">
        <v>-5.4400447450464684</v>
      </c>
      <c r="E158" s="7">
        <v>4500.08</v>
      </c>
      <c r="F158" s="7">
        <v>3.3265980896399761</v>
      </c>
      <c r="G158" s="7">
        <v>1937.74</v>
      </c>
      <c r="H158" s="7">
        <v>6.1310110636433324</v>
      </c>
      <c r="I158" s="7">
        <v>4648.01</v>
      </c>
      <c r="J158" s="7">
        <v>6.5935099185873147</v>
      </c>
      <c r="K158" s="7">
        <v>5625.18</v>
      </c>
      <c r="L158" s="7">
        <v>9.7514102176288198E-2</v>
      </c>
    </row>
    <row r="159" spans="2:12" s="18" customFormat="1" ht="34.9" hidden="1" customHeight="1">
      <c r="B159" s="15">
        <v>39904</v>
      </c>
      <c r="C159" s="11">
        <v>9684.49</v>
      </c>
      <c r="D159" s="11">
        <v>6.0793166752104222</v>
      </c>
      <c r="E159" s="11">
        <v>4547.8999999999996</v>
      </c>
      <c r="F159" s="11">
        <v>1.0626477751506602</v>
      </c>
      <c r="G159" s="11">
        <v>1956</v>
      </c>
      <c r="H159" s="11">
        <v>0.94233488496908713</v>
      </c>
      <c r="I159" s="11">
        <v>4198.1000000000004</v>
      </c>
      <c r="J159" s="11">
        <v>-9.6796263347109779</v>
      </c>
      <c r="K159" s="11">
        <v>5650</v>
      </c>
      <c r="L159" s="11">
        <v>0.44123032507403792</v>
      </c>
    </row>
    <row r="160" spans="2:12" s="18" customFormat="1" ht="34.9" hidden="1" customHeight="1">
      <c r="B160" s="14">
        <v>39934</v>
      </c>
      <c r="C160" s="7">
        <v>10920.4</v>
      </c>
      <c r="D160" s="7">
        <v>12.761745843095508</v>
      </c>
      <c r="E160" s="7">
        <v>4741.5</v>
      </c>
      <c r="F160" s="7">
        <v>4.2569097825370106</v>
      </c>
      <c r="G160" s="7">
        <v>1882.5</v>
      </c>
      <c r="H160" s="7">
        <v>-3.7576687116564367</v>
      </c>
      <c r="I160" s="7">
        <v>5343</v>
      </c>
      <c r="J160" s="7">
        <v>27.271861080012382</v>
      </c>
      <c r="K160" s="7">
        <v>6382.4</v>
      </c>
      <c r="L160" s="7">
        <v>12.962831858407075</v>
      </c>
    </row>
    <row r="161" spans="2:12" s="18" customFormat="1" ht="34.9" hidden="1" customHeight="1">
      <c r="B161" s="15">
        <v>39965</v>
      </c>
      <c r="C161" s="11">
        <v>10202</v>
      </c>
      <c r="D161" s="11">
        <v>-6.5785136075601542</v>
      </c>
      <c r="E161" s="11">
        <v>4507</v>
      </c>
      <c r="F161" s="11">
        <v>-4.945692291468939</v>
      </c>
      <c r="G161" s="11">
        <v>1799</v>
      </c>
      <c r="H161" s="11">
        <v>-4.4355909694555162</v>
      </c>
      <c r="I161" s="11">
        <v>4836.8</v>
      </c>
      <c r="J161" s="11">
        <v>-9.4740782332023201</v>
      </c>
      <c r="K161" s="11">
        <v>5935</v>
      </c>
      <c r="L161" s="11">
        <v>-7.0099022311356229</v>
      </c>
    </row>
    <row r="162" spans="2:12" s="18" customFormat="1" ht="34.9" hidden="1" customHeight="1">
      <c r="B162" s="14">
        <v>39995</v>
      </c>
      <c r="C162" s="7">
        <v>9646.2000000000007</v>
      </c>
      <c r="D162" s="7">
        <v>-5.4479513820819392</v>
      </c>
      <c r="E162" s="7">
        <v>4202.3999999999996</v>
      </c>
      <c r="F162" s="7">
        <v>-6.7583758597736914</v>
      </c>
      <c r="G162" s="7">
        <v>1725.8</v>
      </c>
      <c r="H162" s="7">
        <v>-4.0689271817676564</v>
      </c>
      <c r="I162" s="7">
        <v>4859.2</v>
      </c>
      <c r="J162" s="7">
        <v>0.46311610982467943</v>
      </c>
      <c r="K162" s="7">
        <v>5723.8</v>
      </c>
      <c r="L162" s="7">
        <v>-3.5585509688289774</v>
      </c>
    </row>
    <row r="163" spans="2:12" s="18" customFormat="1" ht="34.9" hidden="1" customHeight="1">
      <c r="B163" s="15">
        <v>40026</v>
      </c>
      <c r="C163" s="11">
        <v>9905.5</v>
      </c>
      <c r="D163" s="11">
        <v>2.6881051605813555</v>
      </c>
      <c r="E163" s="11">
        <v>3892.9</v>
      </c>
      <c r="F163" s="11">
        <v>-7.3648391395393027</v>
      </c>
      <c r="G163" s="11">
        <v>1666.7</v>
      </c>
      <c r="H163" s="11">
        <v>-3.4244987831730134</v>
      </c>
      <c r="I163" s="11">
        <v>4820.3999999999996</v>
      </c>
      <c r="J163" s="11">
        <v>-0.79848534738229393</v>
      </c>
      <c r="K163" s="11">
        <v>5749.6</v>
      </c>
      <c r="L163" s="11">
        <v>0.45074950207903974</v>
      </c>
    </row>
    <row r="164" spans="2:12" s="18" customFormat="1" ht="34.9" hidden="1" customHeight="1">
      <c r="B164" s="14">
        <v>40057</v>
      </c>
      <c r="C164" s="7">
        <v>10220.1</v>
      </c>
      <c r="D164" s="7">
        <v>3.1760133259300494</v>
      </c>
      <c r="E164" s="7">
        <v>4459.3999999999996</v>
      </c>
      <c r="F164" s="7">
        <v>14.552133371008757</v>
      </c>
      <c r="G164" s="7">
        <v>1848.5</v>
      </c>
      <c r="H164" s="7">
        <v>10.907781844363118</v>
      </c>
      <c r="I164" s="7">
        <v>4484.8999999999996</v>
      </c>
      <c r="J164" s="7">
        <v>-6.9600033192266153</v>
      </c>
      <c r="K164" s="7">
        <v>5850.1</v>
      </c>
      <c r="L164" s="7">
        <v>1.747947683317097</v>
      </c>
    </row>
    <row r="165" spans="2:12" s="18" customFormat="1" ht="34.9" hidden="1" customHeight="1">
      <c r="B165" s="15">
        <v>40087</v>
      </c>
      <c r="C165" s="11">
        <v>10051.5</v>
      </c>
      <c r="D165" s="11">
        <v>-1.6496903161417276</v>
      </c>
      <c r="E165" s="11">
        <v>4196.8</v>
      </c>
      <c r="F165" s="11">
        <v>-5.8886845764004043</v>
      </c>
      <c r="G165" s="11">
        <v>1790.4</v>
      </c>
      <c r="H165" s="11">
        <v>-3.1430889910738391</v>
      </c>
      <c r="I165" s="11">
        <v>4161</v>
      </c>
      <c r="J165" s="11">
        <v>-7.2220116390554923</v>
      </c>
      <c r="K165" s="11">
        <v>5649.7</v>
      </c>
      <c r="L165" s="11">
        <v>-3.4255824686757586</v>
      </c>
    </row>
    <row r="166" spans="2:12" s="18" customFormat="1" ht="34.9" hidden="1" customHeight="1">
      <c r="B166" s="14">
        <v>40118</v>
      </c>
      <c r="C166" s="7">
        <v>9621.7099999999991</v>
      </c>
      <c r="D166" s="7">
        <v>-4.2758792220066733</v>
      </c>
      <c r="E166" s="7">
        <v>4023.78</v>
      </c>
      <c r="F166" s="7">
        <v>-4.1226648875333556</v>
      </c>
      <c r="G166" s="7">
        <v>1756.74</v>
      </c>
      <c r="H166" s="7">
        <v>-1.8800268096514805</v>
      </c>
      <c r="I166" s="7">
        <v>4414.9399999999996</v>
      </c>
      <c r="J166" s="7">
        <v>6.1028598894496522</v>
      </c>
      <c r="K166" s="7">
        <v>5582.72</v>
      </c>
      <c r="L166" s="7">
        <v>-1.1855496752039896</v>
      </c>
    </row>
    <row r="167" spans="2:12" s="18" customFormat="1" ht="34.9" hidden="1" customHeight="1">
      <c r="B167" s="15">
        <v>40148</v>
      </c>
      <c r="C167" s="11">
        <v>9368</v>
      </c>
      <c r="D167" s="11">
        <v>-2.6368493750071367</v>
      </c>
      <c r="E167" s="11">
        <v>3943.6</v>
      </c>
      <c r="F167" s="11">
        <v>-1.9926536739086176</v>
      </c>
      <c r="G167" s="11">
        <v>1700.6</v>
      </c>
      <c r="H167" s="11">
        <v>-3.1956920204469697</v>
      </c>
      <c r="I167" s="11">
        <v>4563.2</v>
      </c>
      <c r="J167" s="11">
        <v>3.3581430325213981</v>
      </c>
      <c r="K167" s="11">
        <v>5520.1</v>
      </c>
      <c r="L167" s="11">
        <v>-1.1216754556918471</v>
      </c>
    </row>
    <row r="168" spans="2:12" s="18" customFormat="1" ht="34.9" hidden="1" customHeight="1">
      <c r="B168" s="3">
        <v>2010</v>
      </c>
      <c r="C168" s="96"/>
      <c r="D168" s="96"/>
      <c r="E168" s="93"/>
      <c r="F168" s="93"/>
      <c r="G168" s="93"/>
      <c r="H168" s="93"/>
      <c r="I168" s="93"/>
      <c r="J168" s="93"/>
      <c r="K168" s="93"/>
      <c r="L168" s="93"/>
    </row>
    <row r="169" spans="2:12" s="18" customFormat="1" ht="34.9" hidden="1" customHeight="1">
      <c r="B169" s="14">
        <v>40179</v>
      </c>
      <c r="C169" s="7">
        <v>9088.2000000000007</v>
      </c>
      <c r="D169" s="7">
        <v>-2.9867634500427016</v>
      </c>
      <c r="E169" s="7">
        <v>3804.1</v>
      </c>
      <c r="F169" s="7">
        <v>-3.5373770159245366</v>
      </c>
      <c r="G169" s="7">
        <v>1695.1</v>
      </c>
      <c r="H169" s="7">
        <v>-0.32341526520052355</v>
      </c>
      <c r="I169" s="7">
        <v>4575.1000000000004</v>
      </c>
      <c r="J169" s="7">
        <v>0.26078190743339746</v>
      </c>
      <c r="K169" s="7">
        <v>5433.9</v>
      </c>
      <c r="L169" s="7">
        <v>-1.5615659136609992</v>
      </c>
    </row>
    <row r="170" spans="2:12" s="18" customFormat="1" ht="34.9" hidden="1" customHeight="1">
      <c r="B170" s="15">
        <v>40210</v>
      </c>
      <c r="C170" s="11">
        <v>8946.5</v>
      </c>
      <c r="D170" s="11">
        <v>-1.5591646310600615</v>
      </c>
      <c r="E170" s="11">
        <v>3804.5</v>
      </c>
      <c r="F170" s="11">
        <v>1.051497068951246E-2</v>
      </c>
      <c r="G170" s="11">
        <v>1647.6</v>
      </c>
      <c r="H170" s="11">
        <v>-2.80219456079287</v>
      </c>
      <c r="I170" s="11">
        <v>4411.5</v>
      </c>
      <c r="J170" s="11">
        <v>-3.5758781228825698</v>
      </c>
      <c r="K170" s="11">
        <v>5305</v>
      </c>
      <c r="L170" s="11">
        <v>-2.3721452363863804</v>
      </c>
    </row>
    <row r="171" spans="2:12" s="18" customFormat="1" ht="34.9" hidden="1" customHeight="1">
      <c r="B171" s="14">
        <v>40238</v>
      </c>
      <c r="C171" s="7">
        <v>8785.1</v>
      </c>
      <c r="D171" s="7">
        <v>-1.8040574526350994</v>
      </c>
      <c r="E171" s="7">
        <v>3791.7</v>
      </c>
      <c r="F171" s="7">
        <v>-0.3364436851097441</v>
      </c>
      <c r="G171" s="7">
        <v>1727.2</v>
      </c>
      <c r="H171" s="7">
        <v>4.8312697256615689</v>
      </c>
      <c r="I171" s="7">
        <v>4404.6000000000004</v>
      </c>
      <c r="J171" s="7">
        <v>-0.15640938456306097</v>
      </c>
      <c r="K171" s="7">
        <v>5301.8</v>
      </c>
      <c r="L171" s="7">
        <v>-6.0320452403395119E-2</v>
      </c>
    </row>
    <row r="172" spans="2:12" s="18" customFormat="1" ht="34.9" hidden="1" customHeight="1">
      <c r="B172" s="15">
        <v>40269</v>
      </c>
      <c r="C172" s="11">
        <v>9139.1</v>
      </c>
      <c r="D172" s="11">
        <v>4.0295500335795875</v>
      </c>
      <c r="E172" s="11">
        <v>3465.8</v>
      </c>
      <c r="F172" s="11">
        <v>-8.5950892739404381</v>
      </c>
      <c r="G172" s="11">
        <v>1726.3</v>
      </c>
      <c r="H172" s="11">
        <v>-5.2107457156091996E-2</v>
      </c>
      <c r="I172" s="11">
        <v>4482.2</v>
      </c>
      <c r="J172" s="11">
        <v>1.7617944875811586</v>
      </c>
      <c r="K172" s="11">
        <v>5433.6</v>
      </c>
      <c r="L172" s="11">
        <v>2.4859481685465257</v>
      </c>
    </row>
    <row r="173" spans="2:12" s="18" customFormat="1" ht="34.9" hidden="1" customHeight="1">
      <c r="B173" s="14">
        <v>40299</v>
      </c>
      <c r="C173" s="7">
        <v>8723.1</v>
      </c>
      <c r="D173" s="7">
        <v>-4.5518705342976862</v>
      </c>
      <c r="E173" s="7">
        <v>3126.3</v>
      </c>
      <c r="F173" s="7">
        <v>-9.795718160309308</v>
      </c>
      <c r="G173" s="7">
        <v>1584.1</v>
      </c>
      <c r="H173" s="7">
        <v>-8.2372704628395965</v>
      </c>
      <c r="I173" s="7">
        <v>4046.5</v>
      </c>
      <c r="J173" s="7">
        <v>-9.7206728838516767</v>
      </c>
      <c r="K173" s="7">
        <v>5065.7</v>
      </c>
      <c r="L173" s="7">
        <v>-6.7708333333333481</v>
      </c>
    </row>
    <row r="174" spans="2:12" s="18" customFormat="1" ht="34.9" hidden="1" customHeight="1">
      <c r="B174" s="15">
        <v>40330</v>
      </c>
      <c r="C174" s="11">
        <v>8750.98</v>
      </c>
      <c r="D174" s="11">
        <v>0.31961114741319019</v>
      </c>
      <c r="E174" s="11">
        <v>2647.41</v>
      </c>
      <c r="F174" s="11">
        <v>-15.318107667210445</v>
      </c>
      <c r="G174" s="11">
        <v>1540.14</v>
      </c>
      <c r="H174" s="11">
        <v>-2.7750773309765719</v>
      </c>
      <c r="I174" s="11">
        <v>4034.95</v>
      </c>
      <c r="J174" s="11">
        <v>-0.28543185468924426</v>
      </c>
      <c r="K174" s="11">
        <v>5038.96</v>
      </c>
      <c r="L174" s="11">
        <v>-0.52786386876443325</v>
      </c>
    </row>
    <row r="175" spans="2:12" s="18" customFormat="1" ht="34.9" hidden="1" customHeight="1">
      <c r="B175" s="14">
        <v>40360</v>
      </c>
      <c r="C175" s="7">
        <v>8616.51</v>
      </c>
      <c r="D175" s="7">
        <v>-1.5366278976754577</v>
      </c>
      <c r="E175" s="7">
        <v>2510.63</v>
      </c>
      <c r="F175" s="7">
        <v>-5.1665590142818685</v>
      </c>
      <c r="G175" s="7">
        <v>1564.5</v>
      </c>
      <c r="H175" s="7">
        <v>1.5816743932369759</v>
      </c>
      <c r="I175" s="7">
        <v>3922.18</v>
      </c>
      <c r="J175" s="7">
        <v>-2.7948301713775825</v>
      </c>
      <c r="K175" s="7">
        <v>4971.7</v>
      </c>
      <c r="L175" s="7">
        <v>-1.3347992442885093</v>
      </c>
    </row>
    <row r="176" spans="2:12" s="18" customFormat="1" ht="34.9" hidden="1" customHeight="1">
      <c r="B176" s="15">
        <v>40391</v>
      </c>
      <c r="C176" s="11">
        <v>8425.61</v>
      </c>
      <c r="D176" s="11">
        <v>-2.2155141698901204</v>
      </c>
      <c r="E176" s="11">
        <v>2456.98</v>
      </c>
      <c r="F176" s="11">
        <v>-2.1369138423423584</v>
      </c>
      <c r="G176" s="11">
        <v>1522.32</v>
      </c>
      <c r="H176" s="11">
        <v>-2.6960690316395031</v>
      </c>
      <c r="I176" s="11">
        <v>3807.74</v>
      </c>
      <c r="J176" s="11">
        <v>-2.9177651204177257</v>
      </c>
      <c r="K176" s="11">
        <v>4847.6099999999997</v>
      </c>
      <c r="L176" s="11">
        <v>-2.4959269465172906</v>
      </c>
    </row>
    <row r="177" spans="2:12" s="18" customFormat="1" ht="34.9" hidden="1" customHeight="1">
      <c r="B177" s="14">
        <v>40422</v>
      </c>
      <c r="C177" s="7">
        <v>8425.6</v>
      </c>
      <c r="D177" s="7">
        <v>-1.1868576874629611E-4</v>
      </c>
      <c r="E177" s="7">
        <v>2457</v>
      </c>
      <c r="F177" s="7">
        <v>8.1400744003090608E-4</v>
      </c>
      <c r="G177" s="7">
        <v>1573.1</v>
      </c>
      <c r="H177" s="7">
        <v>3.3356981449366829</v>
      </c>
      <c r="I177" s="7">
        <v>4055.4</v>
      </c>
      <c r="J177" s="7">
        <v>6.5041205544496217</v>
      </c>
      <c r="K177" s="7">
        <v>5040.6000000000004</v>
      </c>
      <c r="L177" s="7">
        <v>3.9811370964248471</v>
      </c>
    </row>
    <row r="178" spans="2:12" s="18" customFormat="1" ht="34.9" hidden="1" customHeight="1">
      <c r="B178" s="15">
        <v>40452</v>
      </c>
      <c r="C178" s="11">
        <v>8833.4</v>
      </c>
      <c r="D178" s="11">
        <v>4.8400113938473099</v>
      </c>
      <c r="E178" s="11">
        <v>2219.1</v>
      </c>
      <c r="F178" s="11">
        <v>-9.6825396825396819</v>
      </c>
      <c r="G178" s="11">
        <v>1539.6</v>
      </c>
      <c r="H178" s="11">
        <v>-2.1295531116902966</v>
      </c>
      <c r="I178" s="11">
        <v>4257.3</v>
      </c>
      <c r="J178" s="11">
        <v>4.9785471223553701</v>
      </c>
      <c r="K178" s="11">
        <v>5135.3</v>
      </c>
      <c r="L178" s="11">
        <v>1.8787445938975411</v>
      </c>
    </row>
    <row r="179" spans="2:12" s="18" customFormat="1" ht="34.9" hidden="1" customHeight="1">
      <c r="B179" s="14">
        <v>40483</v>
      </c>
      <c r="C179" s="7">
        <v>8894.2000000000007</v>
      </c>
      <c r="D179" s="7">
        <v>0.68829669210044298</v>
      </c>
      <c r="E179" s="7">
        <v>2093.4</v>
      </c>
      <c r="F179" s="7">
        <v>-5.6644585642828149</v>
      </c>
      <c r="G179" s="7">
        <v>1522.2</v>
      </c>
      <c r="H179" s="7">
        <v>-1.130163678877627</v>
      </c>
      <c r="I179" s="7">
        <v>4281</v>
      </c>
      <c r="J179" s="7">
        <v>0.55669086040448512</v>
      </c>
      <c r="K179" s="7">
        <v>5150.7</v>
      </c>
      <c r="L179" s="7">
        <v>0.29988510895175846</v>
      </c>
    </row>
    <row r="180" spans="2:12" s="18" customFormat="1" ht="34.9" hidden="1" customHeight="1">
      <c r="B180" s="15">
        <v>40513</v>
      </c>
      <c r="C180" s="11">
        <v>8848.2999999999993</v>
      </c>
      <c r="D180" s="11">
        <v>-0.51606665017653874</v>
      </c>
      <c r="E180" s="11">
        <v>2103.5</v>
      </c>
      <c r="F180" s="11">
        <v>0.48246871118753365</v>
      </c>
      <c r="G180" s="11">
        <v>1506.4</v>
      </c>
      <c r="H180" s="11">
        <v>-1.0379713572460925</v>
      </c>
      <c r="I180" s="11">
        <v>4841.7</v>
      </c>
      <c r="J180" s="11">
        <v>13.097407147862651</v>
      </c>
      <c r="K180" s="11">
        <v>5318</v>
      </c>
      <c r="L180" s="11">
        <v>3.2481021997010195</v>
      </c>
    </row>
    <row r="181" spans="2:12" s="18" customFormat="1" ht="34.9" hidden="1" customHeight="1">
      <c r="B181" s="3">
        <v>2011</v>
      </c>
      <c r="C181" s="96"/>
      <c r="D181" s="96"/>
      <c r="E181" s="93"/>
      <c r="F181" s="93"/>
      <c r="G181" s="93"/>
      <c r="H181" s="93"/>
      <c r="I181" s="93"/>
      <c r="J181" s="93"/>
      <c r="K181" s="93"/>
      <c r="L181" s="93"/>
    </row>
    <row r="182" spans="2:12" s="18" customFormat="1" ht="34.9" hidden="1" customHeight="1">
      <c r="B182" s="14">
        <v>40544</v>
      </c>
      <c r="C182" s="7">
        <v>8808.7999999999993</v>
      </c>
      <c r="D182" s="7">
        <v>-0.44641343534915778</v>
      </c>
      <c r="E182" s="7">
        <v>2132.3000000000002</v>
      </c>
      <c r="F182" s="7">
        <v>1.3691466603280356</v>
      </c>
      <c r="G182" s="7">
        <v>1522.6</v>
      </c>
      <c r="H182" s="7">
        <v>1.075411577270291</v>
      </c>
      <c r="I182" s="7">
        <v>4800.8999999999996</v>
      </c>
      <c r="J182" s="7">
        <v>-0.84267922423942876</v>
      </c>
      <c r="K182" s="7">
        <v>5302.1</v>
      </c>
      <c r="L182" s="7">
        <v>-0.29898458066941469</v>
      </c>
    </row>
    <row r="183" spans="2:12" s="18" customFormat="1" ht="34.9" hidden="1" customHeight="1">
      <c r="B183" s="15">
        <v>40575</v>
      </c>
      <c r="C183" s="11">
        <v>8464.5</v>
      </c>
      <c r="D183" s="11">
        <v>-3.9085914085913998</v>
      </c>
      <c r="E183" s="11">
        <v>1987.2</v>
      </c>
      <c r="F183" s="11">
        <v>-6.8048586033860214</v>
      </c>
      <c r="G183" s="11">
        <v>1447</v>
      </c>
      <c r="H183" s="11">
        <v>-4.9651911204518502</v>
      </c>
      <c r="I183" s="11">
        <v>4490.8</v>
      </c>
      <c r="J183" s="11">
        <v>-6.4592055656231047</v>
      </c>
      <c r="K183" s="11">
        <v>5042.6000000000004</v>
      </c>
      <c r="L183" s="11">
        <v>-4.8942871692348344</v>
      </c>
    </row>
    <row r="184" spans="2:12" s="18" customFormat="1" ht="34.9" hidden="1" customHeight="1">
      <c r="B184" s="14">
        <v>40603</v>
      </c>
      <c r="C184" s="7">
        <v>8339</v>
      </c>
      <c r="D184" s="7">
        <v>-1.4826628861716595</v>
      </c>
      <c r="E184" s="7">
        <v>2026.1</v>
      </c>
      <c r="F184" s="7">
        <v>1.9575281803542621</v>
      </c>
      <c r="G184" s="7">
        <v>1424.3</v>
      </c>
      <c r="H184" s="7">
        <v>-1.5687629578438167</v>
      </c>
      <c r="I184" s="7">
        <v>4176.3999999999996</v>
      </c>
      <c r="J184" s="7">
        <v>-7.0009797808853751</v>
      </c>
      <c r="K184" s="7">
        <v>4883.5</v>
      </c>
      <c r="L184" s="7">
        <v>-3.1551183913060776</v>
      </c>
    </row>
    <row r="185" spans="2:12" s="18" customFormat="1" ht="34.9" hidden="1" customHeight="1">
      <c r="B185" s="15">
        <v>40634</v>
      </c>
      <c r="C185" s="11">
        <v>8284.4</v>
      </c>
      <c r="D185" s="11">
        <v>-0.65475476675861399</v>
      </c>
      <c r="E185" s="11">
        <v>2085.1999999999998</v>
      </c>
      <c r="F185" s="11">
        <v>2.9169340111544262</v>
      </c>
      <c r="G185" s="11">
        <v>1422.6</v>
      </c>
      <c r="H185" s="11">
        <v>-0.11935687706241538</v>
      </c>
      <c r="I185" s="11">
        <v>4464.5</v>
      </c>
      <c r="J185" s="11">
        <v>6.8982856048271257</v>
      </c>
      <c r="K185" s="11">
        <v>4962.1000000000004</v>
      </c>
      <c r="L185" s="11">
        <v>1.6095013822053916</v>
      </c>
    </row>
    <row r="186" spans="2:12" s="18" customFormat="1" ht="34.9" hidden="1" customHeight="1">
      <c r="B186" s="14">
        <v>40664</v>
      </c>
      <c r="C186" s="7">
        <v>8287.2000000000007</v>
      </c>
      <c r="D186" s="7">
        <v>3.3798464584045007E-2</v>
      </c>
      <c r="E186" s="7">
        <v>2052.8000000000002</v>
      </c>
      <c r="F186" s="7">
        <v>-1.5538077882217394</v>
      </c>
      <c r="G186" s="7">
        <v>1399.6</v>
      </c>
      <c r="H186" s="7">
        <v>-1.6167580486433297</v>
      </c>
      <c r="I186" s="7">
        <v>4326.8999999999996</v>
      </c>
      <c r="J186" s="7">
        <v>-3.082092059581143</v>
      </c>
      <c r="K186" s="7">
        <v>4902.3</v>
      </c>
      <c r="L186" s="7">
        <v>-1.2051349227141794</v>
      </c>
    </row>
    <row r="187" spans="2:12" s="18" customFormat="1" ht="34.9" hidden="1" customHeight="1">
      <c r="B187" s="15">
        <v>40695</v>
      </c>
      <c r="C187" s="11">
        <v>8002.9</v>
      </c>
      <c r="D187" s="11">
        <v>-3.43059175596101</v>
      </c>
      <c r="E187" s="11">
        <v>1976.9</v>
      </c>
      <c r="F187" s="11">
        <v>-3.6973889321901821</v>
      </c>
      <c r="G187" s="11">
        <v>1377.8</v>
      </c>
      <c r="H187" s="11">
        <v>-1.557587882252065</v>
      </c>
      <c r="I187" s="11">
        <v>4289</v>
      </c>
      <c r="J187" s="11">
        <v>-0.87591578266194015</v>
      </c>
      <c r="K187" s="11">
        <v>4787.3</v>
      </c>
      <c r="L187" s="11">
        <v>-2.3458376680333681</v>
      </c>
    </row>
    <row r="188" spans="2:12" s="18" customFormat="1" ht="34.9" hidden="1" customHeight="1">
      <c r="B188" s="14">
        <v>40725</v>
      </c>
      <c r="C188" s="7">
        <v>8100.6</v>
      </c>
      <c r="D188" s="7">
        <v>1.2208074572967353</v>
      </c>
      <c r="E188" s="7">
        <v>1949.9</v>
      </c>
      <c r="F188" s="7">
        <v>-1.3657746977591145</v>
      </c>
      <c r="G188" s="7">
        <v>1375</v>
      </c>
      <c r="H188" s="7">
        <v>-0.20322252866888935</v>
      </c>
      <c r="I188" s="7">
        <v>4356.1000000000004</v>
      </c>
      <c r="J188" s="7">
        <v>1.5644672417813199</v>
      </c>
      <c r="K188" s="7">
        <v>4838.5</v>
      </c>
      <c r="L188" s="7">
        <v>1.0694963758277165</v>
      </c>
    </row>
    <row r="189" spans="2:12" s="18" customFormat="1" ht="34.9" hidden="1" customHeight="1">
      <c r="B189" s="15">
        <v>40756</v>
      </c>
      <c r="C189" s="11">
        <v>7970.9</v>
      </c>
      <c r="D189" s="11">
        <v>-1.6011159667185249</v>
      </c>
      <c r="E189" s="11">
        <v>1980</v>
      </c>
      <c r="F189" s="11">
        <v>1.5436689060977393</v>
      </c>
      <c r="G189" s="11">
        <v>1335.6</v>
      </c>
      <c r="H189" s="11">
        <v>-2.8654545454545488</v>
      </c>
      <c r="I189" s="11">
        <v>4216.3999999999996</v>
      </c>
      <c r="J189" s="11">
        <v>-3.2069970845481244</v>
      </c>
      <c r="K189" s="11">
        <v>4727.5</v>
      </c>
      <c r="L189" s="11">
        <v>-2.2940994109744706</v>
      </c>
    </row>
    <row r="190" spans="2:12" s="18" customFormat="1" ht="34.9" hidden="1" customHeight="1">
      <c r="B190" s="14">
        <v>40787</v>
      </c>
      <c r="C190" s="7">
        <v>7698</v>
      </c>
      <c r="D190" s="7">
        <v>-3.4237037222898281</v>
      </c>
      <c r="E190" s="7">
        <v>1905.1</v>
      </c>
      <c r="F190" s="7">
        <v>-3.7828282828282878</v>
      </c>
      <c r="G190" s="7">
        <v>1298.8</v>
      </c>
      <c r="H190" s="7">
        <v>-2.7553159628631252</v>
      </c>
      <c r="I190" s="7">
        <v>3998.7</v>
      </c>
      <c r="J190" s="7">
        <v>-5.1631723745375169</v>
      </c>
      <c r="K190" s="7">
        <v>4545.3999999999996</v>
      </c>
      <c r="L190" s="7">
        <v>-3.8519301956636776</v>
      </c>
    </row>
    <row r="191" spans="2:12" s="18" customFormat="1" ht="34.9" hidden="1" customHeight="1">
      <c r="B191" s="15">
        <v>40817</v>
      </c>
      <c r="C191" s="11">
        <v>7644.7</v>
      </c>
      <c r="D191" s="11">
        <v>-0.69238763315147001</v>
      </c>
      <c r="E191" s="11">
        <v>1783.6</v>
      </c>
      <c r="F191" s="11">
        <v>-6.3776179728098237</v>
      </c>
      <c r="G191" s="11">
        <v>1322.4</v>
      </c>
      <c r="H191" s="11">
        <v>1.8170619032953583</v>
      </c>
      <c r="I191" s="11">
        <v>4329.1000000000004</v>
      </c>
      <c r="J191" s="11">
        <v>8.262685372746148</v>
      </c>
      <c r="K191" s="11">
        <v>4658.7</v>
      </c>
      <c r="L191" s="11">
        <v>2.4926299115589412</v>
      </c>
    </row>
    <row r="192" spans="2:12" s="18" customFormat="1" ht="34.9" hidden="1" customHeight="1">
      <c r="B192" s="14">
        <v>40848</v>
      </c>
      <c r="C192" s="7">
        <v>7293.5</v>
      </c>
      <c r="D192" s="7">
        <v>-4.5940324669378807</v>
      </c>
      <c r="E192" s="7">
        <v>1675.1</v>
      </c>
      <c r="F192" s="7">
        <v>-6.0832025117739441</v>
      </c>
      <c r="G192" s="7">
        <v>1295.2</v>
      </c>
      <c r="H192" s="7">
        <v>-2.0568663036902635</v>
      </c>
      <c r="I192" s="7">
        <v>4209.7</v>
      </c>
      <c r="J192" s="7">
        <v>-2.758079046453088</v>
      </c>
      <c r="K192" s="7">
        <v>4493</v>
      </c>
      <c r="L192" s="7">
        <v>-3.5567862279176521</v>
      </c>
    </row>
    <row r="193" spans="2:12" s="18" customFormat="1" ht="34.9" hidden="1" customHeight="1">
      <c r="B193" s="15">
        <v>40878</v>
      </c>
      <c r="C193" s="11">
        <v>7542.3</v>
      </c>
      <c r="D193" s="11">
        <v>3.4112565983409837</v>
      </c>
      <c r="E193" s="11">
        <v>1703.7</v>
      </c>
      <c r="F193" s="11">
        <v>1.7073607545818215</v>
      </c>
      <c r="G193" s="11">
        <v>1302.0999999999999</v>
      </c>
      <c r="H193" s="11">
        <v>0.53273625694871818</v>
      </c>
      <c r="I193" s="11">
        <v>4427.3999999999996</v>
      </c>
      <c r="J193" s="11">
        <v>5.1713898852649764</v>
      </c>
      <c r="K193" s="11">
        <v>4648.3999999999996</v>
      </c>
      <c r="L193" s="11">
        <v>3.4587135544179803</v>
      </c>
    </row>
    <row r="194" spans="2:12" s="18" customFormat="1" ht="34.9" hidden="1" customHeight="1">
      <c r="B194" s="3">
        <v>2012</v>
      </c>
      <c r="C194" s="96"/>
      <c r="D194" s="96"/>
      <c r="E194" s="93"/>
      <c r="F194" s="93"/>
      <c r="G194" s="93"/>
      <c r="H194" s="93"/>
      <c r="I194" s="93"/>
      <c r="J194" s="93"/>
      <c r="K194" s="93"/>
      <c r="L194" s="93"/>
    </row>
    <row r="195" spans="2:12" s="18" customFormat="1" ht="34.9" hidden="1" customHeight="1">
      <c r="B195" s="14">
        <v>40909</v>
      </c>
      <c r="C195" s="7">
        <v>7184.6</v>
      </c>
      <c r="D195" s="7">
        <v>-4.7425851530700118</v>
      </c>
      <c r="E195" s="7">
        <v>1583.7</v>
      </c>
      <c r="F195" s="7">
        <v>-7.0434935728121095</v>
      </c>
      <c r="G195" s="7">
        <v>1301.5</v>
      </c>
      <c r="H195" s="7">
        <v>-4.6079410183541558E-2</v>
      </c>
      <c r="I195" s="7">
        <v>4068.6</v>
      </c>
      <c r="J195" s="7">
        <v>-8.1040791435153743</v>
      </c>
      <c r="K195" s="7">
        <v>4414</v>
      </c>
      <c r="L195" s="7">
        <v>-5.0425953016091434</v>
      </c>
    </row>
    <row r="196" spans="2:12" s="18" customFormat="1" ht="34.9" hidden="1" customHeight="1">
      <c r="B196" s="15">
        <v>40940</v>
      </c>
      <c r="C196" s="11">
        <v>7298.4</v>
      </c>
      <c r="D196" s="11">
        <v>1.58394343456838</v>
      </c>
      <c r="E196" s="11">
        <v>1390.6</v>
      </c>
      <c r="F196" s="11">
        <v>-12.192965839489812</v>
      </c>
      <c r="G196" s="11">
        <v>1291.3</v>
      </c>
      <c r="H196" s="11">
        <v>-0.78371110257395848</v>
      </c>
      <c r="I196" s="11">
        <v>4293.5</v>
      </c>
      <c r="J196" s="11">
        <v>5.5276999459273446</v>
      </c>
      <c r="K196" s="11">
        <v>4519.3999999999996</v>
      </c>
      <c r="L196" s="11">
        <v>2.3878568192115868</v>
      </c>
    </row>
    <row r="197" spans="2:12" s="18" customFormat="1" ht="34.9" hidden="1" customHeight="1">
      <c r="B197" s="14">
        <v>40969</v>
      </c>
      <c r="C197" s="7">
        <v>7747</v>
      </c>
      <c r="D197" s="7">
        <v>6.1465526690781536</v>
      </c>
      <c r="E197" s="7">
        <v>1330.3</v>
      </c>
      <c r="F197" s="7">
        <v>-4.3362577304760457</v>
      </c>
      <c r="G197" s="7">
        <v>1311</v>
      </c>
      <c r="H197" s="7">
        <v>1.525594362270577</v>
      </c>
      <c r="I197" s="7">
        <v>4358.5</v>
      </c>
      <c r="J197" s="7">
        <v>1.5139163852334825</v>
      </c>
      <c r="K197" s="7">
        <v>4692</v>
      </c>
      <c r="L197" s="7">
        <v>3.8190910297827285</v>
      </c>
    </row>
    <row r="198" spans="2:12" s="18" customFormat="1" ht="34.9" hidden="1" customHeight="1">
      <c r="B198" s="15">
        <v>41000</v>
      </c>
      <c r="C198" s="11">
        <v>7771.4</v>
      </c>
      <c r="D198" s="11">
        <v>0.31496062992124596</v>
      </c>
      <c r="E198" s="11">
        <v>1317.6</v>
      </c>
      <c r="F198" s="11">
        <v>-0.95467187852364965</v>
      </c>
      <c r="G198" s="11">
        <v>1273.5999999999999</v>
      </c>
      <c r="H198" s="11">
        <v>-2.8527841342486759</v>
      </c>
      <c r="I198" s="11">
        <v>4263.1000000000004</v>
      </c>
      <c r="J198" s="11">
        <v>-2.1888264311116123</v>
      </c>
      <c r="K198" s="11">
        <v>4643.7</v>
      </c>
      <c r="L198" s="11">
        <v>-1.0294117647058898</v>
      </c>
    </row>
    <row r="199" spans="2:12" s="18" customFormat="1" ht="34.9" hidden="1" customHeight="1">
      <c r="B199" s="14">
        <v>41030</v>
      </c>
      <c r="C199" s="7">
        <v>7257.5</v>
      </c>
      <c r="D199" s="7">
        <v>-6.6127081349563692</v>
      </c>
      <c r="E199" s="7">
        <v>1281.9000000000001</v>
      </c>
      <c r="F199" s="7">
        <v>-2.7094717668488033</v>
      </c>
      <c r="G199" s="7">
        <v>1196.3</v>
      </c>
      <c r="H199" s="7">
        <v>-6.0694095477386911</v>
      </c>
      <c r="I199" s="7">
        <v>4140.8</v>
      </c>
      <c r="J199" s="7">
        <v>-2.8688043911707428</v>
      </c>
      <c r="K199" s="7">
        <v>4396</v>
      </c>
      <c r="L199" s="7">
        <v>-5.3341085772121382</v>
      </c>
    </row>
    <row r="200" spans="2:12" s="18" customFormat="1" ht="34.9" hidden="1" customHeight="1">
      <c r="B200" s="15">
        <v>41061</v>
      </c>
      <c r="C200" s="11">
        <v>7196.7</v>
      </c>
      <c r="D200" s="11">
        <v>-7.395063952440994</v>
      </c>
      <c r="E200" s="11">
        <v>1263.9000000000001</v>
      </c>
      <c r="F200" s="11">
        <v>-1.4041656915516065</v>
      </c>
      <c r="G200" s="11">
        <v>1197.8</v>
      </c>
      <c r="H200" s="11">
        <v>-5.9516331658291399</v>
      </c>
      <c r="I200" s="11">
        <v>4174.6000000000004</v>
      </c>
      <c r="J200" s="11">
        <v>-2.0759541178954288</v>
      </c>
      <c r="K200" s="11">
        <v>4389.8</v>
      </c>
      <c r="L200" s="11">
        <v>-5.467622800783845</v>
      </c>
    </row>
    <row r="201" spans="2:12" s="18" customFormat="1" ht="34.9" hidden="1" customHeight="1">
      <c r="B201" s="14">
        <v>41091</v>
      </c>
      <c r="C201" s="7">
        <v>7079.7</v>
      </c>
      <c r="D201" s="7">
        <v>-1.6257451331860406</v>
      </c>
      <c r="E201" s="7">
        <v>1268.0999999999999</v>
      </c>
      <c r="F201" s="7">
        <v>0.33230477094705613</v>
      </c>
      <c r="G201" s="7">
        <v>1184.5999999999999</v>
      </c>
      <c r="H201" s="7">
        <v>-1.1020203706795795</v>
      </c>
      <c r="I201" s="7">
        <v>4187</v>
      </c>
      <c r="J201" s="7">
        <v>0.29703444641402399</v>
      </c>
      <c r="K201" s="7">
        <v>4350.1000000000004</v>
      </c>
      <c r="L201" s="7">
        <v>-0.90436921955441285</v>
      </c>
    </row>
    <row r="202" spans="2:12" s="18" customFormat="1" ht="34.9" hidden="1" customHeight="1">
      <c r="B202" s="15">
        <v>41122</v>
      </c>
      <c r="C202" s="11">
        <v>7534</v>
      </c>
      <c r="D202" s="11">
        <v>6.4169385708434001</v>
      </c>
      <c r="E202" s="11">
        <v>1268.0999999999999</v>
      </c>
      <c r="F202" s="11">
        <v>0</v>
      </c>
      <c r="G202" s="11">
        <v>1184.8</v>
      </c>
      <c r="H202" s="11">
        <v>1.6883336147222039E-2</v>
      </c>
      <c r="I202" s="11">
        <v>4549.3</v>
      </c>
      <c r="J202" s="11">
        <v>8.6529734893718633</v>
      </c>
      <c r="K202" s="11">
        <v>4612.7</v>
      </c>
      <c r="L202" s="11">
        <v>6.0366428357968571</v>
      </c>
    </row>
    <row r="203" spans="2:12" s="18" customFormat="1" ht="34.9" hidden="1" customHeight="1">
      <c r="B203" s="14">
        <v>41153</v>
      </c>
      <c r="C203" s="7">
        <v>7274.7</v>
      </c>
      <c r="D203" s="7">
        <v>-3.4417308202813968</v>
      </c>
      <c r="E203" s="7">
        <v>1255.5</v>
      </c>
      <c r="F203" s="7">
        <v>-0.99361249112844829</v>
      </c>
      <c r="G203" s="7">
        <v>1172.2</v>
      </c>
      <c r="H203" s="7">
        <v>-1.0634706279540773</v>
      </c>
      <c r="I203" s="7">
        <v>4626</v>
      </c>
      <c r="J203" s="7">
        <v>1.6859736662783176</v>
      </c>
      <c r="K203" s="7">
        <v>4551.8</v>
      </c>
      <c r="L203" s="7">
        <v>-1.3202679558609876</v>
      </c>
    </row>
    <row r="204" spans="2:12" s="18" customFormat="1" ht="34.9" hidden="1" customHeight="1">
      <c r="B204" s="15">
        <v>41183</v>
      </c>
      <c r="C204" s="11">
        <v>7158.4</v>
      </c>
      <c r="D204" s="11">
        <v>-1.5986913549699722</v>
      </c>
      <c r="E204" s="11">
        <v>1263.9000000000001</v>
      </c>
      <c r="F204" s="11">
        <v>0.66905615292713883</v>
      </c>
      <c r="G204" s="11">
        <v>1229.7</v>
      </c>
      <c r="H204" s="11">
        <v>4.9053062617300691</v>
      </c>
      <c r="I204" s="11">
        <v>4624.8</v>
      </c>
      <c r="J204" s="11">
        <v>-2.5940337224383825E-2</v>
      </c>
      <c r="K204" s="11">
        <v>4551.1000000000004</v>
      </c>
      <c r="L204" s="11">
        <v>-1.5378531569920639E-2</v>
      </c>
    </row>
    <row r="205" spans="2:12" s="18" customFormat="1" ht="34.9" hidden="1" customHeight="1">
      <c r="B205" s="14">
        <v>41214</v>
      </c>
      <c r="C205" s="7">
        <v>7131.8788680636471</v>
      </c>
      <c r="D205" s="7">
        <v>-0.37048966160527774</v>
      </c>
      <c r="E205" s="7">
        <v>1280.7771085209017</v>
      </c>
      <c r="F205" s="7">
        <v>1.3353199241159519</v>
      </c>
      <c r="G205" s="7">
        <v>1236.8042923959572</v>
      </c>
      <c r="H205" s="7">
        <v>0.57772565633547046</v>
      </c>
      <c r="I205" s="7">
        <v>4707.3074061272346</v>
      </c>
      <c r="J205" s="7">
        <v>1.7840210631213216</v>
      </c>
      <c r="K205" s="7">
        <v>4576.0340604816574</v>
      </c>
      <c r="L205" s="7">
        <v>0.54786887745066348</v>
      </c>
    </row>
    <row r="206" spans="2:12" s="18" customFormat="1" ht="34.9" hidden="1" customHeight="1">
      <c r="B206" s="15">
        <v>41244</v>
      </c>
      <c r="C206" s="11">
        <v>7297.3646745222804</v>
      </c>
      <c r="D206" s="11">
        <v>2.3203675990582706</v>
      </c>
      <c r="E206" s="11">
        <v>1251.0307566255822</v>
      </c>
      <c r="F206" s="11">
        <v>-2.3225237004486976</v>
      </c>
      <c r="G206" s="11">
        <v>1240.3888111042536</v>
      </c>
      <c r="H206" s="11">
        <v>0.28982101132204452</v>
      </c>
      <c r="I206" s="11">
        <v>4606.364542849954</v>
      </c>
      <c r="J206" s="11">
        <v>-2.1443864733773021</v>
      </c>
      <c r="K206" s="11">
        <v>4593.945989906776</v>
      </c>
      <c r="L206" s="11">
        <v>0.39142911063108077</v>
      </c>
    </row>
    <row r="207" spans="2:12" s="18" customFormat="1" ht="34.9" hidden="1" customHeight="1">
      <c r="B207" s="3">
        <v>2013</v>
      </c>
      <c r="C207" s="96"/>
      <c r="D207" s="96"/>
      <c r="E207" s="93"/>
      <c r="F207" s="93"/>
      <c r="G207" s="93"/>
      <c r="H207" s="93"/>
      <c r="I207" s="93"/>
      <c r="J207" s="93"/>
      <c r="K207" s="93"/>
      <c r="L207" s="93"/>
    </row>
    <row r="208" spans="2:12" s="18" customFormat="1" ht="34.9" hidden="1" customHeight="1">
      <c r="B208" s="14">
        <v>41275</v>
      </c>
      <c r="C208" s="7">
        <v>7619.5</v>
      </c>
      <c r="D208" s="7">
        <v>4.4144062938557624</v>
      </c>
      <c r="E208" s="7">
        <v>1244</v>
      </c>
      <c r="F208" s="7">
        <v>-0.56199710425556271</v>
      </c>
      <c r="G208" s="7">
        <v>1283.2</v>
      </c>
      <c r="H208" s="7">
        <v>3.4514330113663192</v>
      </c>
      <c r="I208" s="7">
        <v>4703</v>
      </c>
      <c r="J208" s="7">
        <v>2.0978682049827029</v>
      </c>
      <c r="K208" s="7">
        <v>4752.2</v>
      </c>
      <c r="L208" s="7">
        <v>3.4448382815322418</v>
      </c>
    </row>
    <row r="209" spans="2:12" s="18" customFormat="1" ht="34.9" hidden="1" customHeight="1">
      <c r="B209" s="15">
        <v>41306</v>
      </c>
      <c r="C209" s="11">
        <v>7667.8</v>
      </c>
      <c r="D209" s="11">
        <v>0.63389986219568595</v>
      </c>
      <c r="E209" s="11">
        <v>1244.7</v>
      </c>
      <c r="F209" s="11">
        <v>5.6270096463029162E-2</v>
      </c>
      <c r="G209" s="11">
        <v>1295.0999999999999</v>
      </c>
      <c r="H209" s="11">
        <v>0.9273690773067278</v>
      </c>
      <c r="I209" s="11">
        <v>4506.8</v>
      </c>
      <c r="J209" s="11">
        <v>-4.1718052307038072</v>
      </c>
      <c r="K209" s="11">
        <v>4705.6000000000004</v>
      </c>
      <c r="L209" s="11">
        <v>-0.9805984596607753</v>
      </c>
    </row>
    <row r="210" spans="2:12" s="18" customFormat="1" ht="34.9" hidden="1" customHeight="1">
      <c r="B210" s="14">
        <v>41334</v>
      </c>
      <c r="C210" s="7">
        <v>7360.2</v>
      </c>
      <c r="D210" s="7">
        <v>-4.0115808967370103</v>
      </c>
      <c r="E210" s="7">
        <v>1253.5999999999999</v>
      </c>
      <c r="F210" s="7">
        <v>0.71503173455449431</v>
      </c>
      <c r="G210" s="7">
        <v>1413.3</v>
      </c>
      <c r="H210" s="7">
        <v>9.1267083622886389</v>
      </c>
      <c r="I210" s="7">
        <v>4664.6000000000004</v>
      </c>
      <c r="J210" s="7">
        <v>3.5013756989438205</v>
      </c>
      <c r="K210" s="7">
        <v>4738.3</v>
      </c>
      <c r="L210" s="7">
        <v>0.69491669500170161</v>
      </c>
    </row>
    <row r="211" spans="2:12" s="18" customFormat="1" ht="34.9" hidden="1" customHeight="1">
      <c r="B211" s="15">
        <v>41365</v>
      </c>
      <c r="C211" s="11">
        <v>7240.4</v>
      </c>
      <c r="D211" s="11">
        <v>-1.6276731610554096</v>
      </c>
      <c r="E211" s="11">
        <v>1211.0999999999999</v>
      </c>
      <c r="F211" s="11">
        <v>-3.3902361199744768</v>
      </c>
      <c r="G211" s="11">
        <v>1302.2</v>
      </c>
      <c r="H211" s="11">
        <v>-7.8610344583598613</v>
      </c>
      <c r="I211" s="11">
        <v>4473.8999999999996</v>
      </c>
      <c r="J211" s="11">
        <v>-4.088239077305678</v>
      </c>
      <c r="K211" s="11">
        <v>4563.3999999999996</v>
      </c>
      <c r="L211" s="11">
        <v>-3.6911972648418279</v>
      </c>
    </row>
    <row r="212" spans="2:12" s="18" customFormat="1" ht="34.9" hidden="1" customHeight="1">
      <c r="B212" s="14">
        <v>41395</v>
      </c>
      <c r="C212" s="7">
        <v>7249.7988781811455</v>
      </c>
      <c r="D212" s="7">
        <v>0.12981158749718613</v>
      </c>
      <c r="E212" s="7">
        <v>1203.17043251266</v>
      </c>
      <c r="F212" s="7">
        <v>-0.65474093694491975</v>
      </c>
      <c r="G212" s="7">
        <v>1294.4778764742321</v>
      </c>
      <c r="H212" s="7">
        <v>-0.59300595344555784</v>
      </c>
      <c r="I212" s="7">
        <v>4545.9884441438207</v>
      </c>
      <c r="J212" s="7">
        <v>1.6113110293886956</v>
      </c>
      <c r="K212" s="7">
        <v>4585.096644111688</v>
      </c>
      <c r="L212" s="7">
        <v>0.47544909742052166</v>
      </c>
    </row>
    <row r="213" spans="2:12" s="18" customFormat="1" ht="34.9" hidden="1" customHeight="1">
      <c r="B213" s="15">
        <v>41426</v>
      </c>
      <c r="C213" s="11">
        <v>7110.8024995958103</v>
      </c>
      <c r="D213" s="11">
        <v>-1.9172446149320899</v>
      </c>
      <c r="E213" s="11">
        <v>1207.6170102365227</v>
      </c>
      <c r="F213" s="11">
        <v>0.36957172514426873</v>
      </c>
      <c r="G213" s="11">
        <v>1241.5539239459611</v>
      </c>
      <c r="H213" s="11">
        <v>-4.0884400954321336</v>
      </c>
      <c r="I213" s="11">
        <v>4285.2850284305923</v>
      </c>
      <c r="J213" s="11">
        <v>-5.7348015490243593</v>
      </c>
      <c r="K213" s="11">
        <v>4420.3487003300634</v>
      </c>
      <c r="L213" s="11">
        <v>-3.5931182387005656</v>
      </c>
    </row>
    <row r="214" spans="2:12" s="18" customFormat="1" ht="34.9" hidden="1" customHeight="1">
      <c r="B214" s="14">
        <v>41456</v>
      </c>
      <c r="C214" s="7">
        <v>7267.3</v>
      </c>
      <c r="D214" s="7">
        <v>2.2008416126461983</v>
      </c>
      <c r="E214" s="7">
        <v>1193.7</v>
      </c>
      <c r="F214" s="7">
        <v>-1.1524357572436639</v>
      </c>
      <c r="G214" s="7">
        <v>1163.9000000000001</v>
      </c>
      <c r="H214" s="7">
        <v>-6.2545752100043988</v>
      </c>
      <c r="I214" s="7">
        <v>4180.3</v>
      </c>
      <c r="J214" s="7">
        <v>-2.4498960450488605</v>
      </c>
      <c r="K214" s="7">
        <v>4380.8</v>
      </c>
      <c r="L214" s="7">
        <v>-0.89469639187311767</v>
      </c>
    </row>
    <row r="215" spans="2:12" s="18" customFormat="1" ht="34.9" hidden="1" customHeight="1">
      <c r="B215" s="15">
        <v>41487</v>
      </c>
      <c r="C215" s="11">
        <v>7212.3</v>
      </c>
      <c r="D215" s="11">
        <v>-0.75681477302437239</v>
      </c>
      <c r="E215" s="11">
        <v>1164.5999999999999</v>
      </c>
      <c r="F215" s="11">
        <v>-2.4377984418195608</v>
      </c>
      <c r="G215" s="11">
        <v>1053.3</v>
      </c>
      <c r="H215" s="11">
        <v>-9.5025345820087708</v>
      </c>
      <c r="I215" s="11">
        <v>3653.7</v>
      </c>
      <c r="J215" s="11">
        <v>-12.597182020429166</v>
      </c>
      <c r="K215" s="11">
        <v>4112</v>
      </c>
      <c r="L215" s="11">
        <v>-6.1358655953250629</v>
      </c>
    </row>
    <row r="216" spans="2:12" s="18" customFormat="1" ht="34.9" hidden="1" customHeight="1">
      <c r="B216" s="14">
        <v>41518</v>
      </c>
      <c r="C216" s="7">
        <v>7291.9</v>
      </c>
      <c r="D216" s="7">
        <v>1.1036701191020848</v>
      </c>
      <c r="E216" s="7">
        <v>1161.4000000000001</v>
      </c>
      <c r="F216" s="7">
        <v>-0.27477245406146711</v>
      </c>
      <c r="G216" s="7">
        <v>1125.8</v>
      </c>
      <c r="H216" s="7">
        <v>6.883129212949779</v>
      </c>
      <c r="I216" s="7">
        <v>2872.5</v>
      </c>
      <c r="J216" s="7">
        <v>-21.381065768946538</v>
      </c>
      <c r="K216" s="7">
        <v>3913.4</v>
      </c>
      <c r="L216" s="7">
        <v>-4.8297665369649749</v>
      </c>
    </row>
    <row r="217" spans="2:12" s="18" customFormat="1" ht="34.9" hidden="1" customHeight="1">
      <c r="B217" s="15">
        <v>41548</v>
      </c>
      <c r="C217" s="11">
        <v>7739.4</v>
      </c>
      <c r="D217" s="11">
        <v>6.1369464748556535</v>
      </c>
      <c r="E217" s="11">
        <v>1195.8</v>
      </c>
      <c r="F217" s="11">
        <v>2.9619424832099117</v>
      </c>
      <c r="G217" s="11">
        <v>1152.0999999999999</v>
      </c>
      <c r="H217" s="11">
        <v>2.3361165393497973</v>
      </c>
      <c r="I217" s="11">
        <v>3270.4</v>
      </c>
      <c r="J217" s="11">
        <v>13.852045256744994</v>
      </c>
      <c r="K217" s="11">
        <v>4200.6000000000004</v>
      </c>
      <c r="L217" s="11">
        <v>7.3388869014156644</v>
      </c>
    </row>
    <row r="218" spans="2:12" s="18" customFormat="1" ht="34.9" hidden="1" customHeight="1">
      <c r="B218" s="14">
        <v>41579</v>
      </c>
      <c r="C218" s="7">
        <v>7131.9</v>
      </c>
      <c r="D218" s="7">
        <v>-7.8494456934646077</v>
      </c>
      <c r="E218" s="7">
        <v>1280.8</v>
      </c>
      <c r="F218" s="7">
        <v>7.1082120755979306</v>
      </c>
      <c r="G218" s="7">
        <v>1236.8</v>
      </c>
      <c r="H218" s="7">
        <v>7.3517923791337703</v>
      </c>
      <c r="I218" s="7">
        <v>4707.3</v>
      </c>
      <c r="J218" s="7">
        <v>43.93652152641878</v>
      </c>
      <c r="K218" s="7">
        <v>4276.6000000000004</v>
      </c>
      <c r="L218" s="7">
        <v>1.8092653430462402</v>
      </c>
    </row>
    <row r="219" spans="2:12" s="18" customFormat="1" ht="34.9" hidden="1" customHeight="1">
      <c r="B219" s="15">
        <v>41609</v>
      </c>
      <c r="C219" s="11">
        <v>8035.2</v>
      </c>
      <c r="D219" s="11">
        <v>12.66562907500106</v>
      </c>
      <c r="E219" s="11">
        <v>1214.0999999999999</v>
      </c>
      <c r="F219" s="11">
        <v>-5.2076826983135538</v>
      </c>
      <c r="G219" s="11">
        <v>1255.0999999999999</v>
      </c>
      <c r="H219" s="11">
        <v>1.4796248382923594</v>
      </c>
      <c r="I219" s="11">
        <v>3210.4</v>
      </c>
      <c r="J219" s="11">
        <v>-31.799545386952175</v>
      </c>
      <c r="K219" s="11">
        <v>4336.7</v>
      </c>
      <c r="L219" s="11">
        <v>1.4053219847542264</v>
      </c>
    </row>
    <row r="220" spans="2:12" s="18" customFormat="1" ht="34.9" hidden="1" customHeight="1">
      <c r="B220" s="3">
        <v>2014</v>
      </c>
      <c r="C220" s="96"/>
      <c r="D220" s="96"/>
      <c r="E220" s="93"/>
      <c r="F220" s="93"/>
      <c r="G220" s="93"/>
      <c r="H220" s="93"/>
      <c r="I220" s="93"/>
      <c r="J220" s="93"/>
      <c r="K220" s="93"/>
      <c r="L220" s="93"/>
    </row>
    <row r="221" spans="2:12" s="18" customFormat="1" ht="34.9" hidden="1" customHeight="1">
      <c r="B221" s="14">
        <v>41640</v>
      </c>
      <c r="C221" s="7">
        <v>9036.6</v>
      </c>
      <c r="D221" s="7">
        <v>12.462664277180409</v>
      </c>
      <c r="E221" s="7">
        <v>1300</v>
      </c>
      <c r="F221" s="7">
        <v>7.0751997364302932</v>
      </c>
      <c r="G221" s="7">
        <v>1270.5999999999999</v>
      </c>
      <c r="H221" s="7">
        <v>1.234961357660751</v>
      </c>
      <c r="I221" s="7">
        <v>3226.3</v>
      </c>
      <c r="J221" s="7">
        <v>0.49526538749064741</v>
      </c>
      <c r="K221" s="7">
        <v>4655</v>
      </c>
      <c r="L221" s="7">
        <v>7.3396822468697422</v>
      </c>
    </row>
    <row r="222" spans="2:12" s="18" customFormat="1" ht="34.9" hidden="1" customHeight="1">
      <c r="B222" s="15">
        <v>41671</v>
      </c>
      <c r="C222" s="11">
        <v>9033.7000000000007</v>
      </c>
      <c r="D222" s="11">
        <v>-3.2091715910842478E-2</v>
      </c>
      <c r="E222" s="11">
        <v>1293.0999999999999</v>
      </c>
      <c r="F222" s="11">
        <v>-0.53076923076923466</v>
      </c>
      <c r="G222" s="11">
        <v>1200.0999999999999</v>
      </c>
      <c r="H222" s="11">
        <v>-5.5485597355580012</v>
      </c>
      <c r="I222" s="11">
        <v>3028.5</v>
      </c>
      <c r="J222" s="11">
        <v>-6.1308619781173519</v>
      </c>
      <c r="K222" s="11">
        <v>4540.2</v>
      </c>
      <c r="L222" s="11">
        <v>-2.4661654135338384</v>
      </c>
    </row>
    <row r="223" spans="2:12" s="18" customFormat="1" ht="34.9" hidden="1" customHeight="1">
      <c r="B223" s="14">
        <v>41699</v>
      </c>
      <c r="C223" s="7">
        <v>8939.1</v>
      </c>
      <c r="D223" s="7">
        <v>-1.0471899664589279</v>
      </c>
      <c r="E223" s="7">
        <v>1300.8</v>
      </c>
      <c r="F223" s="7">
        <v>0.59546825458201003</v>
      </c>
      <c r="G223" s="7">
        <v>1205.2</v>
      </c>
      <c r="H223" s="7">
        <v>0.42496458628449307</v>
      </c>
      <c r="I223" s="7">
        <v>3065.8</v>
      </c>
      <c r="J223" s="7">
        <v>1.2316328215288053</v>
      </c>
      <c r="K223" s="7">
        <v>4528.2</v>
      </c>
      <c r="L223" s="7">
        <v>-0.26430553720100392</v>
      </c>
    </row>
    <row r="224" spans="2:12" s="18" customFormat="1" ht="34.9" hidden="1" customHeight="1">
      <c r="B224" s="15">
        <v>41730</v>
      </c>
      <c r="C224" s="11">
        <v>8970.6</v>
      </c>
      <c r="D224" s="11">
        <v>0.35238446823506742</v>
      </c>
      <c r="E224" s="11">
        <v>1290.0999999999999</v>
      </c>
      <c r="F224" s="11">
        <v>-0.8225707257072612</v>
      </c>
      <c r="G224" s="11">
        <v>1151.4000000000001</v>
      </c>
      <c r="H224" s="11">
        <v>-4.4639893793561143</v>
      </c>
      <c r="I224" s="11">
        <v>3175.7</v>
      </c>
      <c r="J224" s="11">
        <v>3.5847087220301166</v>
      </c>
      <c r="K224" s="11">
        <v>4540</v>
      </c>
      <c r="L224" s="11">
        <v>0.26058919659026625</v>
      </c>
    </row>
    <row r="225" spans="2:12" s="18" customFormat="1" ht="34.9" hidden="1" customHeight="1">
      <c r="B225" s="14">
        <v>41760</v>
      </c>
      <c r="C225" s="7">
        <v>9200.7198675276304</v>
      </c>
      <c r="D225" s="7">
        <v>2.5652672901213869</v>
      </c>
      <c r="E225" s="7">
        <v>1281.9057718632566</v>
      </c>
      <c r="F225" s="7">
        <v>-0.63516224608505256</v>
      </c>
      <c r="G225" s="7">
        <v>1153.6650548487607</v>
      </c>
      <c r="H225" s="7">
        <v>0.19672180378327297</v>
      </c>
      <c r="I225" s="7">
        <v>3056.3381207405191</v>
      </c>
      <c r="J225" s="7">
        <v>-3.7586006001662842</v>
      </c>
      <c r="K225" s="7">
        <v>4570.4206667257185</v>
      </c>
      <c r="L225" s="7">
        <v>0.67005873845193964</v>
      </c>
    </row>
    <row r="226" spans="2:12" s="18" customFormat="1" ht="34.9" hidden="1" customHeight="1">
      <c r="B226" s="15">
        <v>41791</v>
      </c>
      <c r="C226" s="11">
        <v>8862.8735316280108</v>
      </c>
      <c r="D226" s="11">
        <v>-3.6719554639631058</v>
      </c>
      <c r="E226" s="11">
        <v>1315.1981652764375</v>
      </c>
      <c r="F226" s="11">
        <v>2.5971014519101665</v>
      </c>
      <c r="G226" s="11">
        <v>1155.6991733856091</v>
      </c>
      <c r="H226" s="11">
        <v>0.17631794672978707</v>
      </c>
      <c r="I226" s="11">
        <v>3017.8644824342209</v>
      </c>
      <c r="J226" s="11">
        <v>-1.2588148557652556</v>
      </c>
      <c r="K226" s="11">
        <v>4458.0177413879337</v>
      </c>
      <c r="L226" s="11">
        <v>-2.4593562285440851</v>
      </c>
    </row>
    <row r="227" spans="2:12" s="18" customFormat="1" ht="34.9" hidden="1" customHeight="1">
      <c r="B227" s="14">
        <v>41821</v>
      </c>
      <c r="C227" s="7">
        <v>8797.8017325616784</v>
      </c>
      <c r="D227" s="7">
        <v>-0.73420656217328961</v>
      </c>
      <c r="E227" s="7">
        <v>1297.3646263895482</v>
      </c>
      <c r="F227" s="7">
        <v>-1.3559583154635013</v>
      </c>
      <c r="G227" s="7">
        <v>1157.3748881270974</v>
      </c>
      <c r="H227" s="7">
        <v>0.14499575495752204</v>
      </c>
      <c r="I227" s="7">
        <v>3123.4697836816226</v>
      </c>
      <c r="J227" s="7">
        <v>3.4993387497048944</v>
      </c>
      <c r="K227" s="7">
        <v>4475.8488066188693</v>
      </c>
      <c r="L227" s="7">
        <v>0.39997743986959211</v>
      </c>
    </row>
    <row r="228" spans="2:12" s="18" customFormat="1" ht="34.9" hidden="1" customHeight="1">
      <c r="B228" s="15">
        <v>41852</v>
      </c>
      <c r="C228" s="11">
        <v>8534.1220471424003</v>
      </c>
      <c r="D228" s="11">
        <v>-2.9971087486930892</v>
      </c>
      <c r="E228" s="11">
        <v>1307.164778992076</v>
      </c>
      <c r="F228" s="11">
        <v>0.75538922544857723</v>
      </c>
      <c r="G228" s="11">
        <v>1159.6304821168253</v>
      </c>
      <c r="H228" s="11">
        <v>0.19488879643638768</v>
      </c>
      <c r="I228" s="11">
        <v>2955.8764399543065</v>
      </c>
      <c r="J228" s="11">
        <v>-5.365614375490269</v>
      </c>
      <c r="K228" s="11">
        <v>4340.5347089401403</v>
      </c>
      <c r="L228" s="11">
        <v>-3.0232052851880797</v>
      </c>
    </row>
    <row r="229" spans="2:12" s="18" customFormat="1" ht="34.9" hidden="1" customHeight="1">
      <c r="B229" s="14">
        <v>41883</v>
      </c>
      <c r="C229" s="7">
        <v>8502.5</v>
      </c>
      <c r="D229" s="7">
        <v>-0.37053661721405673</v>
      </c>
      <c r="E229" s="7">
        <v>1284.7</v>
      </c>
      <c r="F229" s="7">
        <v>-1.7185881499498512</v>
      </c>
      <c r="G229" s="7">
        <v>1140.7</v>
      </c>
      <c r="H229" s="7">
        <v>-1.6324581328932442</v>
      </c>
      <c r="I229" s="7">
        <v>2866.1</v>
      </c>
      <c r="J229" s="7">
        <v>-3.0372189696702745</v>
      </c>
      <c r="K229" s="7">
        <v>4287.6000000000004</v>
      </c>
      <c r="L229" s="7">
        <v>-1.2195435007376187</v>
      </c>
    </row>
    <row r="230" spans="2:12" s="18" customFormat="1" ht="34.9" hidden="1" customHeight="1">
      <c r="B230" s="15">
        <v>41913</v>
      </c>
      <c r="C230" s="11">
        <v>8440</v>
      </c>
      <c r="D230" s="11">
        <v>-0.73507791825933033</v>
      </c>
      <c r="E230" s="11">
        <v>1319.6</v>
      </c>
      <c r="F230" s="11">
        <v>2.7165875301626841</v>
      </c>
      <c r="G230" s="11">
        <v>1154.2</v>
      </c>
      <c r="H230" s="11">
        <v>1.1834838257210434</v>
      </c>
      <c r="I230" s="11">
        <v>2809.2</v>
      </c>
      <c r="J230" s="11">
        <v>-1.9852761592407786</v>
      </c>
      <c r="K230" s="11">
        <v>4260.5</v>
      </c>
      <c r="L230" s="11">
        <v>-0.63205522903256872</v>
      </c>
    </row>
    <row r="231" spans="2:12" s="18" customFormat="1" ht="34.9" hidden="1" customHeight="1">
      <c r="B231" s="14">
        <v>41944</v>
      </c>
      <c r="C231" s="7">
        <v>8327.2000000000007</v>
      </c>
      <c r="D231" s="7">
        <v>-1.3364928909952556</v>
      </c>
      <c r="E231" s="7">
        <v>1320.9</v>
      </c>
      <c r="F231" s="7">
        <v>9.8514701424678996E-2</v>
      </c>
      <c r="G231" s="7">
        <v>1156.5999999999999</v>
      </c>
      <c r="H231" s="7">
        <v>0.20793623288857255</v>
      </c>
      <c r="I231" s="7">
        <v>2664.4</v>
      </c>
      <c r="J231" s="7">
        <v>-5.1544923821728483</v>
      </c>
      <c r="K231" s="7">
        <v>4178.7</v>
      </c>
      <c r="L231" s="7">
        <v>-1.9199624457223341</v>
      </c>
    </row>
    <row r="232" spans="2:12" s="18" customFormat="1" ht="34.9" hidden="1" customHeight="1">
      <c r="B232" s="15">
        <v>41974</v>
      </c>
      <c r="C232" s="11">
        <v>8373</v>
      </c>
      <c r="D232" s="11">
        <v>0.55000480353539771</v>
      </c>
      <c r="E232" s="11">
        <v>1337.7</v>
      </c>
      <c r="F232" s="11">
        <v>1.2718600953895098</v>
      </c>
      <c r="G232" s="11">
        <v>1211.2</v>
      </c>
      <c r="H232" s="11">
        <v>4.7207331834687949</v>
      </c>
      <c r="I232" s="11">
        <v>2691.3</v>
      </c>
      <c r="J232" s="11">
        <v>1.009608166941911</v>
      </c>
      <c r="K232" s="11">
        <v>4237.6000000000004</v>
      </c>
      <c r="L232" s="11">
        <v>1.4095292794409797</v>
      </c>
    </row>
    <row r="233" spans="2:12" s="18" customFormat="1" ht="34.9" hidden="1" customHeight="1">
      <c r="B233" s="3">
        <v>2015</v>
      </c>
      <c r="C233" s="96"/>
      <c r="D233" s="96"/>
      <c r="E233" s="93"/>
      <c r="F233" s="93"/>
      <c r="G233" s="93"/>
      <c r="H233" s="93"/>
      <c r="I233" s="93"/>
      <c r="J233" s="93"/>
      <c r="K233" s="93"/>
      <c r="L233" s="93"/>
    </row>
    <row r="234" spans="2:12" s="18" customFormat="1" ht="34.9" hidden="1" customHeight="1">
      <c r="B234" s="14">
        <v>42005</v>
      </c>
      <c r="C234" s="7">
        <v>8264.7999999999993</v>
      </c>
      <c r="D234" s="7">
        <v>-1.2922488952585742</v>
      </c>
      <c r="E234" s="7">
        <v>1354.7</v>
      </c>
      <c r="F234" s="7">
        <v>1.2708380055318935</v>
      </c>
      <c r="G234" s="7">
        <v>1182.2</v>
      </c>
      <c r="H234" s="7">
        <v>-2.3943196829590452</v>
      </c>
      <c r="I234" s="7">
        <v>2651.3</v>
      </c>
      <c r="J234" s="7">
        <v>-1.4862705755582795</v>
      </c>
      <c r="K234" s="7">
        <v>4173.3999999999996</v>
      </c>
      <c r="L234" s="7">
        <v>-1.5150084953747589</v>
      </c>
    </row>
    <row r="235" spans="2:12" s="18" customFormat="1" ht="34.9" hidden="1" customHeight="1">
      <c r="B235" s="15">
        <v>42036</v>
      </c>
      <c r="C235" s="11">
        <v>8317.7000000000007</v>
      </c>
      <c r="D235" s="11">
        <v>0.64006388539348258</v>
      </c>
      <c r="E235" s="11">
        <v>1359</v>
      </c>
      <c r="F235" s="11">
        <v>0.31741344947220362</v>
      </c>
      <c r="G235" s="11">
        <v>1188.7</v>
      </c>
      <c r="H235" s="11">
        <v>0.54982236508205329</v>
      </c>
      <c r="I235" s="11">
        <v>2618</v>
      </c>
      <c r="J235" s="11">
        <v>-1.2559876287104532</v>
      </c>
      <c r="K235" s="11">
        <v>4181.7</v>
      </c>
      <c r="L235" s="11">
        <v>0.19887861216274505</v>
      </c>
    </row>
    <row r="236" spans="2:12" s="18" customFormat="1" ht="34.9" hidden="1" customHeight="1">
      <c r="B236" s="14">
        <v>42064</v>
      </c>
      <c r="C236" s="7">
        <v>8042.4</v>
      </c>
      <c r="D236" s="7">
        <v>-3.3098092020630854</v>
      </c>
      <c r="E236" s="7">
        <v>1358.8</v>
      </c>
      <c r="F236" s="7">
        <v>-1.4716703458428348E-2</v>
      </c>
      <c r="G236" s="7">
        <v>1147.2</v>
      </c>
      <c r="H236" s="7">
        <v>-3.4912088836544175</v>
      </c>
      <c r="I236" s="7">
        <v>2477.3000000000002</v>
      </c>
      <c r="J236" s="7">
        <v>-5.3743315508021361</v>
      </c>
      <c r="K236" s="7">
        <v>4023.3</v>
      </c>
      <c r="L236" s="7">
        <v>-3.7879331372408287</v>
      </c>
    </row>
    <row r="237" spans="2:12" s="18" customFormat="1" ht="34.9" hidden="1" customHeight="1">
      <c r="B237" s="15">
        <v>42095</v>
      </c>
      <c r="C237" s="11">
        <v>7945.8</v>
      </c>
      <c r="D237" s="11">
        <v>-1.2011339898537643</v>
      </c>
      <c r="E237" s="11">
        <v>1377.8</v>
      </c>
      <c r="F237" s="11">
        <v>1.3982926111274718</v>
      </c>
      <c r="G237" s="11">
        <v>1079.9000000000001</v>
      </c>
      <c r="H237" s="11">
        <v>-5.8664574616457461</v>
      </c>
      <c r="I237" s="11">
        <v>2501.1999999999998</v>
      </c>
      <c r="J237" s="11">
        <v>0.96476002099057379</v>
      </c>
      <c r="K237" s="11">
        <v>3960.6</v>
      </c>
      <c r="L237" s="11">
        <v>-1.5584221907389506</v>
      </c>
    </row>
    <row r="238" spans="2:12" s="18" customFormat="1" ht="34.9" hidden="1" customHeight="1">
      <c r="B238" s="14">
        <v>42125</v>
      </c>
      <c r="C238" s="7">
        <v>8454.5</v>
      </c>
      <c r="D238" s="7">
        <v>6.402124392760955</v>
      </c>
      <c r="E238" s="7">
        <v>1357</v>
      </c>
      <c r="F238" s="7">
        <v>-1.5096530701117716</v>
      </c>
      <c r="G238" s="7">
        <v>1102.7</v>
      </c>
      <c r="H238" s="7">
        <v>2.1113066024631921</v>
      </c>
      <c r="I238" s="7">
        <v>2850.7</v>
      </c>
      <c r="J238" s="7">
        <v>13.973292819446659</v>
      </c>
      <c r="K238" s="7">
        <v>4249.8</v>
      </c>
      <c r="L238" s="7">
        <v>7.3019239509165335</v>
      </c>
    </row>
    <row r="239" spans="2:12" s="18" customFormat="1" ht="34.9" hidden="1" customHeight="1">
      <c r="B239" s="15">
        <v>42156</v>
      </c>
      <c r="C239" s="11">
        <v>8144.5</v>
      </c>
      <c r="D239" s="11">
        <v>-3.6666863800343008</v>
      </c>
      <c r="E239" s="11">
        <v>1344.6</v>
      </c>
      <c r="F239" s="11">
        <v>-0.91378039793663657</v>
      </c>
      <c r="G239" s="11">
        <v>1087.9000000000001</v>
      </c>
      <c r="H239" s="11">
        <v>-1.3421601523533111</v>
      </c>
      <c r="I239" s="11">
        <v>2829.4</v>
      </c>
      <c r="J239" s="11">
        <v>-0.74718490195390119</v>
      </c>
      <c r="K239" s="11">
        <v>4140.3</v>
      </c>
      <c r="L239" s="11">
        <v>-2.5765918396159826</v>
      </c>
    </row>
    <row r="240" spans="2:12" s="18" customFormat="1" ht="34.9" hidden="1" customHeight="1">
      <c r="B240" s="14">
        <v>42186</v>
      </c>
      <c r="C240" s="7">
        <v>8151.5</v>
      </c>
      <c r="D240" s="7">
        <v>8.5947571981082049E-2</v>
      </c>
      <c r="E240" s="7">
        <v>1377.9</v>
      </c>
      <c r="F240" s="7">
        <v>2.4765729585006779</v>
      </c>
      <c r="G240" s="7">
        <v>1075.9000000000001</v>
      </c>
      <c r="H240" s="7">
        <v>-1.1030425590587423</v>
      </c>
      <c r="I240" s="7">
        <v>2967.6</v>
      </c>
      <c r="J240" s="7">
        <v>4.8844277938785652</v>
      </c>
      <c r="K240" s="7">
        <v>4184.7</v>
      </c>
      <c r="L240" s="7">
        <v>1.072386058981234</v>
      </c>
    </row>
    <row r="241" spans="2:12" s="18" customFormat="1" ht="34.9" hidden="1" customHeight="1">
      <c r="B241" s="15">
        <v>42217</v>
      </c>
      <c r="C241" s="11">
        <v>8604.6</v>
      </c>
      <c r="D241" s="11">
        <v>5.5584861681899023</v>
      </c>
      <c r="E241" s="11">
        <v>1354.1</v>
      </c>
      <c r="F241" s="11">
        <v>-1.727266129617544</v>
      </c>
      <c r="G241" s="11">
        <v>997.7</v>
      </c>
      <c r="H241" s="11">
        <v>-7.2683334882424067</v>
      </c>
      <c r="I241" s="11">
        <v>2877.6</v>
      </c>
      <c r="J241" s="11">
        <v>-3.0327537403962768</v>
      </c>
      <c r="K241" s="11">
        <v>4234.8</v>
      </c>
      <c r="L241" s="11">
        <v>1.1972184385977469</v>
      </c>
    </row>
    <row r="242" spans="2:12" s="18" customFormat="1" ht="34.9" hidden="1" customHeight="1">
      <c r="B242" s="14">
        <v>42248</v>
      </c>
      <c r="C242" s="7">
        <v>8248.6</v>
      </c>
      <c r="D242" s="7">
        <v>-4.1373218975896631</v>
      </c>
      <c r="E242" s="7">
        <v>1364.4</v>
      </c>
      <c r="F242" s="7">
        <v>0.76065283213944124</v>
      </c>
      <c r="G242" s="7">
        <v>956.5</v>
      </c>
      <c r="H242" s="7">
        <v>-4.1294978450436055</v>
      </c>
      <c r="I242" s="7">
        <v>2739.3</v>
      </c>
      <c r="J242" s="7">
        <v>-4.8060884070058263</v>
      </c>
      <c r="K242" s="7">
        <v>4054.5</v>
      </c>
      <c r="L242" s="7">
        <v>-4.2575800510059603</v>
      </c>
    </row>
    <row r="243" spans="2:12" s="18" customFormat="1" ht="34.9" hidden="1" customHeight="1">
      <c r="B243" s="15">
        <v>42278</v>
      </c>
      <c r="C243" s="11">
        <v>8132.1</v>
      </c>
      <c r="D243" s="11">
        <v>-1.4123608854835989</v>
      </c>
      <c r="E243" s="11">
        <v>1357.1</v>
      </c>
      <c r="F243" s="11">
        <v>-0.53503371445324799</v>
      </c>
      <c r="G243" s="11">
        <v>982.8</v>
      </c>
      <c r="H243" s="11">
        <v>2.7496079456351241</v>
      </c>
      <c r="I243" s="11">
        <v>2713.2</v>
      </c>
      <c r="J243" s="11">
        <v>-0.95279816011391016</v>
      </c>
      <c r="K243" s="11">
        <v>4026.6</v>
      </c>
      <c r="L243" s="11">
        <v>-0.68812430632630983</v>
      </c>
    </row>
    <row r="244" spans="2:12" s="18" customFormat="1" ht="34.9" hidden="1" customHeight="1">
      <c r="B244" s="14">
        <v>42309</v>
      </c>
      <c r="C244" s="7">
        <v>8005.6</v>
      </c>
      <c r="D244" s="7">
        <v>-1.5555637535200062</v>
      </c>
      <c r="E244" s="7">
        <v>1349.6</v>
      </c>
      <c r="F244" s="7">
        <v>-0.55264903102203444</v>
      </c>
      <c r="G244" s="7">
        <v>973.6</v>
      </c>
      <c r="H244" s="7">
        <v>-0.93610093610092537</v>
      </c>
      <c r="I244" s="7">
        <v>2627.1</v>
      </c>
      <c r="J244" s="7">
        <v>-3.1733746130030882</v>
      </c>
      <c r="K244" s="7">
        <v>3952.4</v>
      </c>
      <c r="L244" s="7">
        <v>-1.8427457408235148</v>
      </c>
    </row>
    <row r="245" spans="2:12" s="18" customFormat="1" ht="34.9" hidden="1" customHeight="1">
      <c r="B245" s="15">
        <v>42339</v>
      </c>
      <c r="C245" s="11">
        <v>8463.7000000000007</v>
      </c>
      <c r="D245" s="11">
        <v>5.7222444288997698</v>
      </c>
      <c r="E245" s="11">
        <v>1369.6</v>
      </c>
      <c r="F245" s="11">
        <v>1.4819205690574933</v>
      </c>
      <c r="G245" s="11">
        <v>1141</v>
      </c>
      <c r="H245" s="11">
        <v>17.193919474116683</v>
      </c>
      <c r="I245" s="11">
        <v>2731.2</v>
      </c>
      <c r="J245" s="11">
        <v>3.9625442503140373</v>
      </c>
      <c r="K245" s="11">
        <v>4229.8999999999996</v>
      </c>
      <c r="L245" s="11">
        <v>7.0210505009614232</v>
      </c>
    </row>
    <row r="246" spans="2:12" s="18" customFormat="1" ht="34.9" hidden="1" customHeight="1">
      <c r="B246" s="3">
        <v>2016</v>
      </c>
      <c r="C246" s="96"/>
      <c r="D246" s="96"/>
      <c r="E246" s="93"/>
      <c r="F246" s="93"/>
      <c r="G246" s="93"/>
      <c r="H246" s="93"/>
      <c r="I246" s="93"/>
      <c r="J246" s="93"/>
      <c r="K246" s="93"/>
      <c r="L246" s="93"/>
    </row>
    <row r="247" spans="2:12" s="18" customFormat="1" ht="34.9" hidden="1" customHeight="1">
      <c r="B247" s="14">
        <v>42370</v>
      </c>
      <c r="C247" s="7">
        <v>8403.2000000000007</v>
      </c>
      <c r="D247" s="7">
        <v>-0.71481739664686073</v>
      </c>
      <c r="E247" s="7">
        <v>1378.2</v>
      </c>
      <c r="F247" s="7">
        <v>0.62792056074767455</v>
      </c>
      <c r="G247" s="7">
        <v>1067.4000000000001</v>
      </c>
      <c r="H247" s="7">
        <v>-6.4504820333041053</v>
      </c>
      <c r="I247" s="7">
        <v>2644.2</v>
      </c>
      <c r="J247" s="7">
        <v>-3.1854130052724083</v>
      </c>
      <c r="K247" s="7">
        <v>4133.2</v>
      </c>
      <c r="L247" s="7">
        <v>-2.2861060545166456</v>
      </c>
    </row>
    <row r="248" spans="2:12" s="18" customFormat="1" ht="34.9" hidden="1" customHeight="1">
      <c r="B248" s="15">
        <v>42401</v>
      </c>
      <c r="C248" s="11">
        <v>8323.1</v>
      </c>
      <c r="D248" s="11">
        <v>-0.95320830159939529</v>
      </c>
      <c r="E248" s="11">
        <v>1374.6</v>
      </c>
      <c r="F248" s="11">
        <v>-0.26121027427079557</v>
      </c>
      <c r="G248" s="11">
        <v>1031.2</v>
      </c>
      <c r="H248" s="11">
        <v>-3.3914183998501102</v>
      </c>
      <c r="I248" s="11">
        <v>2597.6999999999998</v>
      </c>
      <c r="J248" s="11">
        <v>-1.7585659178579571</v>
      </c>
      <c r="K248" s="11">
        <v>4069.2</v>
      </c>
      <c r="L248" s="11">
        <v>-1.5484370463563324</v>
      </c>
    </row>
    <row r="249" spans="2:12" s="18" customFormat="1" ht="34.9" hidden="1" customHeight="1">
      <c r="B249" s="14">
        <v>42430</v>
      </c>
      <c r="C249" s="7">
        <v>8297.4621790854289</v>
      </c>
      <c r="D249" s="7">
        <v>-0.30803211441134959</v>
      </c>
      <c r="E249" s="7">
        <v>1383.5873289449651</v>
      </c>
      <c r="F249" s="7">
        <v>0.65381412374254655</v>
      </c>
      <c r="G249" s="7">
        <v>1013.0943659811967</v>
      </c>
      <c r="H249" s="7">
        <v>-1.7557829731190244</v>
      </c>
      <c r="I249" s="7">
        <v>2686.8266798490486</v>
      </c>
      <c r="J249" s="7">
        <v>3.4309843264829887</v>
      </c>
      <c r="K249" s="7">
        <v>4081.4558339252544</v>
      </c>
      <c r="L249" s="7">
        <v>0.30118534171961198</v>
      </c>
    </row>
    <row r="250" spans="2:12" s="18" customFormat="1" ht="34.9" hidden="1" customHeight="1">
      <c r="B250" s="15">
        <v>42461</v>
      </c>
      <c r="C250" s="11">
        <v>8119</v>
      </c>
      <c r="D250" s="11">
        <v>-2.1508043692595624</v>
      </c>
      <c r="E250" s="11">
        <v>1396.1</v>
      </c>
      <c r="F250" s="11">
        <v>0.90436438620582482</v>
      </c>
      <c r="G250" s="11">
        <v>960.2</v>
      </c>
      <c r="H250" s="11">
        <v>-5.2210699967685343</v>
      </c>
      <c r="I250" s="11">
        <v>2540.6</v>
      </c>
      <c r="J250" s="11">
        <v>-5.4423562541542125</v>
      </c>
      <c r="K250" s="11">
        <v>3942.1</v>
      </c>
      <c r="L250" s="11">
        <v>-3.4143658438472446</v>
      </c>
    </row>
    <row r="251" spans="2:12" s="18" customFormat="1" ht="34.9" hidden="1" customHeight="1">
      <c r="B251" s="14">
        <v>42491</v>
      </c>
      <c r="C251" s="7">
        <v>8304.8474175866504</v>
      </c>
      <c r="D251" s="7">
        <v>2.2890432022004026</v>
      </c>
      <c r="E251" s="7">
        <v>1426.4037476356702</v>
      </c>
      <c r="F251" s="7">
        <v>2.1706000741831044</v>
      </c>
      <c r="G251" s="7">
        <v>974.15872013436228</v>
      </c>
      <c r="H251" s="7">
        <v>1.4537304868113221</v>
      </c>
      <c r="I251" s="7">
        <v>2533.3907191449075</v>
      </c>
      <c r="J251" s="7">
        <v>-0.2837629243128581</v>
      </c>
      <c r="K251" s="7">
        <v>4004.2218092824683</v>
      </c>
      <c r="L251" s="7">
        <v>1.5758557439554677</v>
      </c>
    </row>
    <row r="252" spans="2:12" s="18" customFormat="1" ht="34.9" hidden="1" customHeight="1">
      <c r="B252" s="15">
        <v>42522</v>
      </c>
      <c r="C252" s="11">
        <v>8160.7499067013896</v>
      </c>
      <c r="D252" s="11">
        <v>-1.7351012443662106</v>
      </c>
      <c r="E252" s="11">
        <v>1407.4977041074651</v>
      </c>
      <c r="F252" s="11">
        <v>-1.3254342299326427</v>
      </c>
      <c r="G252" s="11">
        <v>967.63103179470465</v>
      </c>
      <c r="H252" s="11">
        <v>-0.67008467970777197</v>
      </c>
      <c r="I252" s="11">
        <v>2501.5228831644213</v>
      </c>
      <c r="J252" s="11">
        <v>-1.2579123993650132</v>
      </c>
      <c r="K252" s="11">
        <v>3946.0772244626132</v>
      </c>
      <c r="L252" s="11">
        <v>-1.4520820171616378</v>
      </c>
    </row>
    <row r="253" spans="2:12" s="18" customFormat="1" ht="34.9" hidden="1" customHeight="1">
      <c r="B253" s="14">
        <v>42552</v>
      </c>
      <c r="C253" s="7">
        <v>8222.255209095154</v>
      </c>
      <c r="D253" s="7">
        <v>0.75367218818036541</v>
      </c>
      <c r="E253" s="7">
        <v>1392.078884179306</v>
      </c>
      <c r="F253" s="7">
        <v>-1.0954774478965534</v>
      </c>
      <c r="G253" s="7">
        <v>975.00759692748636</v>
      </c>
      <c r="H253" s="7">
        <v>0.76233242738197315</v>
      </c>
      <c r="I253" s="7">
        <v>2485.9330071750342</v>
      </c>
      <c r="J253" s="7">
        <v>-0.62321540587572111</v>
      </c>
      <c r="K253" s="7">
        <v>3963.1885075681234</v>
      </c>
      <c r="L253" s="7">
        <v>0.433627679646853</v>
      </c>
    </row>
    <row r="254" spans="2:12" s="18" customFormat="1" ht="34.9" hidden="1" customHeight="1">
      <c r="B254" s="15">
        <v>42583</v>
      </c>
      <c r="C254" s="11">
        <v>8235.204085978241</v>
      </c>
      <c r="D254" s="11">
        <v>0.15748570865039557</v>
      </c>
      <c r="E254" s="11">
        <v>1404.6023588717617</v>
      </c>
      <c r="F254" s="11">
        <v>0.89962392467715091</v>
      </c>
      <c r="G254" s="11">
        <v>947.27985079293853</v>
      </c>
      <c r="H254" s="11">
        <v>-2.8438492399367465</v>
      </c>
      <c r="I254" s="11">
        <v>2369.1123806353653</v>
      </c>
      <c r="J254" s="11">
        <v>-4.6992668829970441</v>
      </c>
      <c r="K254" s="11">
        <v>3908.6341160779129</v>
      </c>
      <c r="L254" s="11">
        <v>-1.3765277979090107</v>
      </c>
    </row>
    <row r="255" spans="2:12" s="18" customFormat="1" ht="34.9" hidden="1" customHeight="1">
      <c r="B255" s="14">
        <v>42614</v>
      </c>
      <c r="C255" s="7">
        <v>8298.4599829044164</v>
      </c>
      <c r="D255" s="7">
        <v>0.76811571717911864</v>
      </c>
      <c r="E255" s="7">
        <v>1419.7619914543518</v>
      </c>
      <c r="F255" s="7">
        <v>1.079282865135367</v>
      </c>
      <c r="G255" s="7">
        <v>967.60246560672806</v>
      </c>
      <c r="H255" s="7">
        <v>2.1453654690087642</v>
      </c>
      <c r="I255" s="7">
        <v>2369.1442905523804</v>
      </c>
      <c r="J255" s="7">
        <v>1.3469144509947739E-3</v>
      </c>
      <c r="K255" s="7">
        <v>3941.124899663454</v>
      </c>
      <c r="L255" s="7">
        <v>0.8312567157896078</v>
      </c>
    </row>
    <row r="256" spans="2:12" s="18" customFormat="1" ht="34.9" hidden="1" customHeight="1">
      <c r="B256" s="15">
        <v>42644</v>
      </c>
      <c r="C256" s="11">
        <v>8269.1583440259001</v>
      </c>
      <c r="D256" s="11">
        <v>-0.35309730888478663</v>
      </c>
      <c r="E256" s="11">
        <v>1414.1601131244163</v>
      </c>
      <c r="F256" s="11">
        <v>-0.39456460756476242</v>
      </c>
      <c r="G256" s="11">
        <v>961.71522996213662</v>
      </c>
      <c r="H256" s="11">
        <v>-0.6084353702943357</v>
      </c>
      <c r="I256" s="11">
        <v>2337.9968577457635</v>
      </c>
      <c r="J256" s="11">
        <v>-1.3147123596830346</v>
      </c>
      <c r="K256" s="11">
        <v>3918.1028467618744</v>
      </c>
      <c r="L256" s="11">
        <v>-0.58414928447321213</v>
      </c>
    </row>
    <row r="257" spans="2:12" s="18" customFormat="1" ht="34.9" hidden="1" customHeight="1">
      <c r="B257" s="14">
        <v>42675</v>
      </c>
      <c r="C257" s="7">
        <v>8330.1661690049714</v>
      </c>
      <c r="D257" s="7">
        <v>0.73777550798923563</v>
      </c>
      <c r="E257" s="7">
        <v>1394.9088656588983</v>
      </c>
      <c r="F257" s="7">
        <v>-1.3613202130969948</v>
      </c>
      <c r="G257" s="7">
        <v>1002.6508974557102</v>
      </c>
      <c r="H257" s="7">
        <v>4.2565269029986252</v>
      </c>
      <c r="I257" s="7">
        <v>2561.7263061142385</v>
      </c>
      <c r="J257" s="7">
        <v>9.5692792583215613</v>
      </c>
      <c r="K257" s="7">
        <v>4037.7686834351034</v>
      </c>
      <c r="L257" s="7">
        <v>3.0541780385404449</v>
      </c>
    </row>
    <row r="258" spans="2:12" s="18" customFormat="1" ht="34.9" hidden="1" customHeight="1">
      <c r="B258" s="15">
        <v>42705</v>
      </c>
      <c r="C258" s="11">
        <v>8444.4586464647746</v>
      </c>
      <c r="D258" s="11">
        <v>1.3720311833041787</v>
      </c>
      <c r="E258" s="11">
        <v>1385.4375279846693</v>
      </c>
      <c r="F258" s="11">
        <v>-0.67899329536164066</v>
      </c>
      <c r="G258" s="11">
        <v>954.49598590808739</v>
      </c>
      <c r="H258" s="11">
        <v>-4.8027595317391985</v>
      </c>
      <c r="I258" s="11">
        <v>2648.6565739859716</v>
      </c>
      <c r="J258" s="11">
        <v>3.3934252720226654</v>
      </c>
      <c r="K258" s="11">
        <v>4069.7225241496649</v>
      </c>
      <c r="L258" s="11">
        <v>0.79137373187452287</v>
      </c>
    </row>
    <row r="259" spans="2:12" s="18" customFormat="1" ht="34.9" hidden="1" customHeight="1">
      <c r="B259" s="3">
        <v>2017</v>
      </c>
      <c r="C259" s="96"/>
      <c r="D259" s="96"/>
      <c r="E259" s="93"/>
      <c r="F259" s="93"/>
      <c r="G259" s="93"/>
      <c r="H259" s="93"/>
      <c r="I259" s="93"/>
      <c r="J259" s="93"/>
      <c r="K259" s="93"/>
      <c r="L259" s="93"/>
    </row>
    <row r="260" spans="2:12" s="18" customFormat="1" ht="34.9" hidden="1" customHeight="1">
      <c r="B260" s="14">
        <v>42736</v>
      </c>
      <c r="C260" s="7">
        <v>8728.8423776102118</v>
      </c>
      <c r="D260" s="7">
        <v>3.3676964155007427</v>
      </c>
      <c r="E260" s="7">
        <v>1341.1701378755174</v>
      </c>
      <c r="F260" s="7">
        <v>-3.1951920757874563</v>
      </c>
      <c r="G260" s="7">
        <v>952.70016550034904</v>
      </c>
      <c r="H260" s="7">
        <v>-0.18814331691817676</v>
      </c>
      <c r="I260" s="7">
        <v>2479.6726107232694</v>
      </c>
      <c r="J260" s="7">
        <v>-6.3799876859232718</v>
      </c>
      <c r="K260" s="7">
        <v>4093.8836805856299</v>
      </c>
      <c r="L260" s="7">
        <v>0.59368068197753754</v>
      </c>
    </row>
    <row r="261" spans="2:12" s="18" customFormat="1" ht="34.9" hidden="1" customHeight="1">
      <c r="B261" s="15">
        <v>42767</v>
      </c>
      <c r="C261" s="11">
        <v>8955.9947290673281</v>
      </c>
      <c r="D261" s="11">
        <v>2.6023193183069671</v>
      </c>
      <c r="E261" s="11">
        <v>1359.6473477972559</v>
      </c>
      <c r="F261" s="11">
        <v>1.3776932098270134</v>
      </c>
      <c r="G261" s="11">
        <v>969.75503373111337</v>
      </c>
      <c r="H261" s="11">
        <v>1.790161149159375</v>
      </c>
      <c r="I261" s="11">
        <v>2505.6806751688928</v>
      </c>
      <c r="J261" s="11">
        <v>1.0488507367122812</v>
      </c>
      <c r="K261" s="11">
        <v>4182.5777995164044</v>
      </c>
      <c r="L261" s="11">
        <v>2.1665031508195431</v>
      </c>
    </row>
    <row r="262" spans="2:12" s="18" customFormat="1" ht="34.9" hidden="1" customHeight="1">
      <c r="B262" s="14">
        <v>42795</v>
      </c>
      <c r="C262" s="7">
        <v>9177.9016596533074</v>
      </c>
      <c r="D262" s="7">
        <v>2.4777474451359804</v>
      </c>
      <c r="E262" s="7">
        <v>1355.2757367260435</v>
      </c>
      <c r="F262" s="7">
        <v>-0.32152536305055657</v>
      </c>
      <c r="G262" s="7">
        <v>1004.7740440993265</v>
      </c>
      <c r="H262" s="7">
        <v>3.6111192156928817</v>
      </c>
      <c r="I262" s="7">
        <v>2626.3871816314522</v>
      </c>
      <c r="J262" s="7">
        <v>4.8173140200485909</v>
      </c>
      <c r="K262" s="7">
        <v>4312.4957010889129</v>
      </c>
      <c r="L262" s="7">
        <v>3.1061682005659286</v>
      </c>
    </row>
    <row r="263" spans="2:12" s="18" customFormat="1" ht="34.9" hidden="1" customHeight="1">
      <c r="B263" s="15">
        <v>42826</v>
      </c>
      <c r="C263" s="11">
        <v>8642.6619940848741</v>
      </c>
      <c r="D263" s="11">
        <v>-5.8318304708077644</v>
      </c>
      <c r="E263" s="11">
        <v>1330.5542056739723</v>
      </c>
      <c r="F263" s="11">
        <v>-1.8240960405438433</v>
      </c>
      <c r="G263" s="11">
        <v>980.36956048003844</v>
      </c>
      <c r="H263" s="11">
        <v>-2.4288529110208179</v>
      </c>
      <c r="I263" s="11">
        <v>2694.3643498186398</v>
      </c>
      <c r="J263" s="11">
        <v>2.5882386520391654</v>
      </c>
      <c r="K263" s="11">
        <v>4159.8403589130785</v>
      </c>
      <c r="L263" s="11">
        <v>-3.5398375501519586</v>
      </c>
    </row>
    <row r="264" spans="2:12" s="18" customFormat="1" ht="34.9" hidden="1" customHeight="1">
      <c r="B264" s="14">
        <v>42856</v>
      </c>
      <c r="C264" s="7">
        <v>8563.753213004773</v>
      </c>
      <c r="D264" s="7">
        <v>-0.91301477639768036</v>
      </c>
      <c r="E264" s="7">
        <v>1310.0655944895302</v>
      </c>
      <c r="F264" s="7">
        <v>-1.5398554299457468</v>
      </c>
      <c r="G264" s="7">
        <v>957.75235868465336</v>
      </c>
      <c r="H264" s="7">
        <v>-2.3070077557600377</v>
      </c>
      <c r="I264" s="7">
        <v>2734.779005620052</v>
      </c>
      <c r="J264" s="7">
        <v>1.4999699578170489</v>
      </c>
      <c r="K264" s="7">
        <v>4133.9665302061876</v>
      </c>
      <c r="L264" s="7">
        <v>-0.62199090528683998</v>
      </c>
    </row>
    <row r="265" spans="2:12" s="18" customFormat="1" ht="34.9" hidden="1" customHeight="1">
      <c r="B265" s="15">
        <v>42887</v>
      </c>
      <c r="C265" s="11">
        <v>8498.2537049915645</v>
      </c>
      <c r="D265" s="11">
        <v>-0.76484581449336453</v>
      </c>
      <c r="E265" s="11">
        <v>1303.5138742130666</v>
      </c>
      <c r="F265" s="11">
        <v>-0.50010627742776981</v>
      </c>
      <c r="G265" s="11">
        <v>952.3405037513669</v>
      </c>
      <c r="H265" s="11">
        <v>-0.5650578549050933</v>
      </c>
      <c r="I265" s="11">
        <v>2709.7079394141224</v>
      </c>
      <c r="J265" s="11">
        <v>-0.91674925668244756</v>
      </c>
      <c r="K265" s="11">
        <v>4102.8116264333739</v>
      </c>
      <c r="L265" s="11">
        <v>-0.75363222089899207</v>
      </c>
    </row>
    <row r="266" spans="2:12" s="18" customFormat="1" ht="34.9" hidden="1" customHeight="1">
      <c r="B266" s="14">
        <v>42917</v>
      </c>
      <c r="C266" s="7">
        <v>8467.9782010343606</v>
      </c>
      <c r="D266" s="7">
        <v>-0.35625559095066039</v>
      </c>
      <c r="E266" s="7">
        <v>1290.0775840586591</v>
      </c>
      <c r="F266" s="7">
        <v>-1.0307746177630084</v>
      </c>
      <c r="G266" s="7">
        <v>946.39764825239433</v>
      </c>
      <c r="H266" s="7">
        <v>-0.62402633045250955</v>
      </c>
      <c r="I266" s="7">
        <v>2671.0709552993476</v>
      </c>
      <c r="J266" s="7">
        <v>-1.4258726393638121</v>
      </c>
      <c r="K266" s="7">
        <v>4076.1095550048826</v>
      </c>
      <c r="L266" s="7">
        <v>-0.65082372430790292</v>
      </c>
    </row>
    <row r="267" spans="2:12" s="18" customFormat="1" ht="34.9" hidden="1" customHeight="1">
      <c r="B267" s="15">
        <v>42948</v>
      </c>
      <c r="C267" s="11">
        <v>8417.5828776927829</v>
      </c>
      <c r="D267" s="11">
        <v>-0.59512816572226956</v>
      </c>
      <c r="E267" s="11">
        <v>1280.6592350990709</v>
      </c>
      <c r="F267" s="11">
        <v>-0.73006066270506764</v>
      </c>
      <c r="G267" s="11">
        <v>942.81397143611798</v>
      </c>
      <c r="H267" s="11">
        <v>-0.37866501706697031</v>
      </c>
      <c r="I267" s="11">
        <v>2684.6431158264818</v>
      </c>
      <c r="J267" s="11">
        <v>0.50811680985887175</v>
      </c>
      <c r="K267" s="11">
        <v>4063.7829294791618</v>
      </c>
      <c r="L267" s="11">
        <v>-0.30241153627937889</v>
      </c>
    </row>
    <row r="268" spans="2:12" s="18" customFormat="1" ht="34.9" hidden="1" customHeight="1">
      <c r="B268" s="14">
        <v>42979</v>
      </c>
      <c r="C268" s="7">
        <v>8294.9010197343996</v>
      </c>
      <c r="D268" s="7">
        <v>-1.4574475801539144</v>
      </c>
      <c r="E268" s="7">
        <v>1269.1201345888601</v>
      </c>
      <c r="F268" s="7">
        <v>-0.90102817314382522</v>
      </c>
      <c r="G268" s="7">
        <v>940.29943046552899</v>
      </c>
      <c r="H268" s="7">
        <v>-0.26670595120252827</v>
      </c>
      <c r="I268" s="7">
        <v>2637.2214710365902</v>
      </c>
      <c r="J268" s="7">
        <v>-1.7664040523796998</v>
      </c>
      <c r="K268" s="7">
        <v>4009.7496993037598</v>
      </c>
      <c r="L268" s="7">
        <v>-1.3296288486138952</v>
      </c>
    </row>
    <row r="269" spans="2:12" s="18" customFormat="1" ht="34.9" hidden="1" customHeight="1">
      <c r="B269" s="15">
        <v>43009</v>
      </c>
      <c r="C269" s="11">
        <v>8128.7038769999999</v>
      </c>
      <c r="D269" s="11">
        <v>-2.0036060989636839</v>
      </c>
      <c r="E269" s="11">
        <v>1251.5397089999999</v>
      </c>
      <c r="F269" s="11">
        <v>-1.3852451875689065</v>
      </c>
      <c r="G269" s="11">
        <v>933.11833460000003</v>
      </c>
      <c r="H269" s="11">
        <v>-0.7637030963608793</v>
      </c>
      <c r="I269" s="11">
        <v>2557.7685329999999</v>
      </c>
      <c r="J269" s="11">
        <v>-3.0127518264653097</v>
      </c>
      <c r="K269" s="11">
        <v>3927.8924769999999</v>
      </c>
      <c r="L269" s="11">
        <v>-2.0414546653117371</v>
      </c>
    </row>
    <row r="270" spans="2:12" s="18" customFormat="1" ht="34.9" hidden="1" customHeight="1">
      <c r="B270" s="14">
        <v>43040</v>
      </c>
      <c r="C270" s="7">
        <v>8190.1399842296014</v>
      </c>
      <c r="D270" s="7">
        <v>0.75579216759800172</v>
      </c>
      <c r="E270" s="7">
        <v>1255.0149622540505</v>
      </c>
      <c r="F270" s="7">
        <v>0.27767822539386255</v>
      </c>
      <c r="G270" s="7">
        <v>931.57234871583216</v>
      </c>
      <c r="H270" s="7">
        <v>-0.16567950996596581</v>
      </c>
      <c r="I270" s="7">
        <v>2611.4343007971152</v>
      </c>
      <c r="J270" s="7">
        <v>2.0981479404694525</v>
      </c>
      <c r="K270" s="7">
        <v>3963.8085350522733</v>
      </c>
      <c r="L270" s="7">
        <v>0.91438495993925173</v>
      </c>
    </row>
    <row r="271" spans="2:12" s="18" customFormat="1" ht="34.9" hidden="1" customHeight="1">
      <c r="B271" s="15">
        <v>43070</v>
      </c>
      <c r="C271" s="11">
        <v>8335.2075633321838</v>
      </c>
      <c r="D271" s="11">
        <v>1.7712466378097869</v>
      </c>
      <c r="E271" s="11">
        <v>1261.2365307485024</v>
      </c>
      <c r="F271" s="11">
        <v>0.49573659928945357</v>
      </c>
      <c r="G271" s="11">
        <v>933.72517301051164</v>
      </c>
      <c r="H271" s="11">
        <v>0.23109577024771344</v>
      </c>
      <c r="I271" s="11">
        <v>2615.8493709279396</v>
      </c>
      <c r="J271" s="11">
        <v>0.16906686603130883</v>
      </c>
      <c r="K271" s="11">
        <v>4009.4376736046602</v>
      </c>
      <c r="L271" s="11">
        <v>1.1511438594696166</v>
      </c>
    </row>
    <row r="272" spans="2:12" s="18" customFormat="1" ht="34.9" hidden="1" customHeight="1">
      <c r="B272" s="3">
        <v>2018</v>
      </c>
      <c r="C272" s="96"/>
      <c r="D272" s="96"/>
      <c r="E272" s="93"/>
      <c r="F272" s="93"/>
      <c r="G272" s="93"/>
      <c r="H272" s="93"/>
      <c r="I272" s="93"/>
      <c r="J272" s="93"/>
      <c r="K272" s="93"/>
      <c r="L272" s="93"/>
    </row>
    <row r="273" spans="2:12" s="18" customFormat="1" ht="34.9" hidden="1" customHeight="1">
      <c r="B273" s="14">
        <v>43101</v>
      </c>
      <c r="C273" s="7">
        <v>8496.6939658575502</v>
      </c>
      <c r="D273" s="7">
        <v>1.9374010940743647</v>
      </c>
      <c r="E273" s="7">
        <v>1243.9094153859453</v>
      </c>
      <c r="F273" s="7">
        <v>-1.3738196555624693</v>
      </c>
      <c r="G273" s="7">
        <v>962.7956654818737</v>
      </c>
      <c r="H273" s="7">
        <v>3.113388533548167</v>
      </c>
      <c r="I273" s="7">
        <v>2731.9154303776309</v>
      </c>
      <c r="J273" s="7">
        <v>4.4370314567661051</v>
      </c>
      <c r="K273" s="7">
        <v>4115.7891162300193</v>
      </c>
      <c r="L273" s="7">
        <v>2.6525276431032419</v>
      </c>
    </row>
    <row r="274" spans="2:12" s="18" customFormat="1" ht="34.9" hidden="1" customHeight="1">
      <c r="B274" s="15">
        <v>43132</v>
      </c>
      <c r="C274" s="11">
        <v>9009.7420283760439</v>
      </c>
      <c r="D274" s="11">
        <v>6.0382080910538427</v>
      </c>
      <c r="E274" s="11">
        <v>1238.5060191958958</v>
      </c>
      <c r="F274" s="11">
        <v>-0.43438823785838521</v>
      </c>
      <c r="G274" s="11">
        <v>969.70455360625078</v>
      </c>
      <c r="H274" s="11">
        <v>0.71758612674259759</v>
      </c>
      <c r="I274" s="11">
        <v>2702.5551075794187</v>
      </c>
      <c r="J274" s="11">
        <v>-1.0747156545088843</v>
      </c>
      <c r="K274" s="11">
        <v>4262.294746466363</v>
      </c>
      <c r="L274" s="11">
        <v>3.5596000207741341</v>
      </c>
    </row>
    <row r="275" spans="2:12" s="18" customFormat="1" ht="34.9" hidden="1" customHeight="1">
      <c r="B275" s="14">
        <v>43160</v>
      </c>
      <c r="C275" s="7">
        <v>9065.5221036002495</v>
      </c>
      <c r="D275" s="7">
        <v>0.61910846113604201</v>
      </c>
      <c r="E275" s="7">
        <v>1247.5875085472935</v>
      </c>
      <c r="F275" s="7">
        <v>0.73326162413760443</v>
      </c>
      <c r="G275" s="7">
        <v>979.46009780599604</v>
      </c>
      <c r="H275" s="7">
        <v>1.006032627511666</v>
      </c>
      <c r="I275" s="7">
        <v>2718.3291177826304</v>
      </c>
      <c r="J275" s="7">
        <v>0.58367025186545352</v>
      </c>
      <c r="K275" s="7">
        <v>4290.8443973125259</v>
      </c>
      <c r="L275" s="7">
        <v>0.66981878411462858</v>
      </c>
    </row>
    <row r="276" spans="2:12" s="18" customFormat="1" ht="34.9" hidden="1" customHeight="1">
      <c r="B276" s="15">
        <v>43191</v>
      </c>
      <c r="C276" s="11">
        <v>9614.042404511305</v>
      </c>
      <c r="D276" s="11">
        <v>6.0506200816963229</v>
      </c>
      <c r="E276" s="11">
        <v>1221.776666140333</v>
      </c>
      <c r="F276" s="11">
        <v>-2.0688602787483079</v>
      </c>
      <c r="G276" s="11">
        <v>936.09390444821634</v>
      </c>
      <c r="H276" s="11">
        <v>-4.4275610057949883</v>
      </c>
      <c r="I276" s="11">
        <v>2586.7220470580251</v>
      </c>
      <c r="J276" s="11">
        <v>-4.8414693373096229</v>
      </c>
      <c r="K276" s="11">
        <v>4376.5096653853798</v>
      </c>
      <c r="L276" s="11">
        <v>1.9964664327261294</v>
      </c>
    </row>
    <row r="277" spans="2:12" s="18" customFormat="1" ht="34.9" hidden="1" customHeight="1">
      <c r="B277" s="14">
        <v>43221</v>
      </c>
      <c r="C277" s="7">
        <v>8885.1</v>
      </c>
      <c r="D277" s="7">
        <v>-7.5820593860627783</v>
      </c>
      <c r="E277" s="7">
        <v>1259.5</v>
      </c>
      <c r="F277" s="7">
        <v>3.0875801531582203</v>
      </c>
      <c r="G277" s="7">
        <v>907.4</v>
      </c>
      <c r="H277" s="7">
        <v>-3.0652805569896358</v>
      </c>
      <c r="I277" s="7">
        <v>2583.9</v>
      </c>
      <c r="J277" s="7">
        <v>-0.10909742162806824</v>
      </c>
      <c r="K277" s="7">
        <v>4143.8</v>
      </c>
      <c r="L277" s="7">
        <v>-5.3172432640997691</v>
      </c>
    </row>
    <row r="278" spans="2:12" s="18" customFormat="1" ht="34.9" hidden="1" customHeight="1">
      <c r="B278" s="15">
        <v>43252</v>
      </c>
      <c r="C278" s="11">
        <v>8817.0422217221785</v>
      </c>
      <c r="D278" s="11">
        <v>-0.76597650310994414</v>
      </c>
      <c r="E278" s="11">
        <v>1411.71774848068</v>
      </c>
      <c r="F278" s="11">
        <v>12.085569549875341</v>
      </c>
      <c r="G278" s="11">
        <v>880.77263328214599</v>
      </c>
      <c r="H278" s="11">
        <v>-2.9344684502814578</v>
      </c>
      <c r="I278" s="11">
        <v>2461.6689191091646</v>
      </c>
      <c r="J278" s="11">
        <v>-4.73048805645867</v>
      </c>
      <c r="K278" s="11">
        <v>4073.7748766122149</v>
      </c>
      <c r="L278" s="11">
        <v>-1.6898770063175195</v>
      </c>
    </row>
    <row r="279" spans="2:12" s="18" customFormat="1" ht="34.9" hidden="1" customHeight="1">
      <c r="B279" s="14">
        <v>43282</v>
      </c>
      <c r="C279" s="7">
        <v>8607.535214253905</v>
      </c>
      <c r="D279" s="7">
        <v>-2.3761597392844447</v>
      </c>
      <c r="E279" s="7">
        <v>1416.8236139546223</v>
      </c>
      <c r="F279" s="7">
        <v>0.36167750100453144</v>
      </c>
      <c r="G279" s="7">
        <v>845.40468452682887</v>
      </c>
      <c r="H279" s="7">
        <v>-4.0155594552842349</v>
      </c>
      <c r="I279" s="7">
        <v>2428.2842969045191</v>
      </c>
      <c r="J279" s="7">
        <v>-1.35617840179445</v>
      </c>
      <c r="K279" s="7">
        <v>3976.2299280899283</v>
      </c>
      <c r="L279" s="7">
        <v>-2.3944609478127488</v>
      </c>
    </row>
    <row r="280" spans="2:12" s="18" customFormat="1" ht="34.9" hidden="1" customHeight="1">
      <c r="B280" s="15">
        <v>43313</v>
      </c>
      <c r="C280" s="11">
        <v>8516.2819182322673</v>
      </c>
      <c r="D280" s="11">
        <v>-1.0601559418603856</v>
      </c>
      <c r="E280" s="11">
        <v>1416.2628541626864</v>
      </c>
      <c r="F280" s="11">
        <v>-3.9578659362593527E-2</v>
      </c>
      <c r="G280" s="11">
        <v>839.79863587249611</v>
      </c>
      <c r="H280" s="11">
        <v>-0.66312013133337233</v>
      </c>
      <c r="I280" s="11">
        <v>2360.2371358008513</v>
      </c>
      <c r="J280" s="11">
        <v>-2.8022732424869523</v>
      </c>
      <c r="K280" s="11">
        <v>3922.4844253854039</v>
      </c>
      <c r="L280" s="11">
        <v>-1.3516698902355073</v>
      </c>
    </row>
    <row r="281" spans="2:12" s="18" customFormat="1" ht="34.9" hidden="1" customHeight="1">
      <c r="B281" s="14">
        <v>43344</v>
      </c>
      <c r="C281" s="7">
        <v>8359.0994314388499</v>
      </c>
      <c r="D281" s="7">
        <v>-1.8456703089749782</v>
      </c>
      <c r="E281" s="7">
        <v>1416.4376659196867</v>
      </c>
      <c r="F281" s="7">
        <v>1.2343171783868456E-2</v>
      </c>
      <c r="G281" s="7">
        <v>843.59489561944713</v>
      </c>
      <c r="H281" s="7">
        <v>0.4520440477980614</v>
      </c>
      <c r="I281" s="7">
        <v>2432.9165918990152</v>
      </c>
      <c r="J281" s="7">
        <v>3.0793285554124195</v>
      </c>
      <c r="K281" s="7">
        <v>3904.2956276216196</v>
      </c>
      <c r="L281" s="7">
        <v>-0.46370605440956281</v>
      </c>
    </row>
    <row r="282" spans="2:12" s="18" customFormat="1" ht="34.9" hidden="1" customHeight="1">
      <c r="B282" s="15">
        <v>43374</v>
      </c>
      <c r="C282" s="11">
        <v>8049.291925964043</v>
      </c>
      <c r="D282" s="11">
        <v>-3.7062306533836686</v>
      </c>
      <c r="E282" s="11">
        <v>1425.9189445821125</v>
      </c>
      <c r="F282" s="11">
        <v>0.66937493195435849</v>
      </c>
      <c r="G282" s="11">
        <v>852.67582242691492</v>
      </c>
      <c r="H282" s="11">
        <v>1.0764558740957941</v>
      </c>
      <c r="I282" s="11">
        <v>2527.4223352254326</v>
      </c>
      <c r="J282" s="11">
        <v>3.8844629380677231</v>
      </c>
      <c r="K282" s="11">
        <v>3850.6890320859193</v>
      </c>
      <c r="L282" s="11">
        <v>-1.3730157920535335</v>
      </c>
    </row>
    <row r="283" spans="2:12" s="18" customFormat="1" ht="34.9" hidden="1" customHeight="1">
      <c r="B283" s="14">
        <v>43405</v>
      </c>
      <c r="C283" s="7">
        <v>7975.3701196648453</v>
      </c>
      <c r="D283" s="7">
        <v>-0.91836408691742255</v>
      </c>
      <c r="E283" s="7">
        <v>1373.6605121473615</v>
      </c>
      <c r="F283" s="7">
        <v>-3.6648950231926491</v>
      </c>
      <c r="G283" s="7">
        <v>801.91935202133482</v>
      </c>
      <c r="H283" s="7">
        <v>-5.9526104846171606</v>
      </c>
      <c r="I283" s="7">
        <v>2265.8938579778969</v>
      </c>
      <c r="J283" s="7">
        <v>-10.347636546632355</v>
      </c>
      <c r="K283" s="7">
        <v>3704.3971343179355</v>
      </c>
      <c r="L283" s="7">
        <v>-3.7991096281471792</v>
      </c>
    </row>
    <row r="284" spans="2:12" s="18" customFormat="1" ht="34.9" hidden="1" customHeight="1">
      <c r="B284" s="15">
        <v>43435</v>
      </c>
      <c r="C284" s="11">
        <v>8245.9753973740189</v>
      </c>
      <c r="D284" s="11">
        <v>3.3930121567893545</v>
      </c>
      <c r="E284" s="11">
        <v>1376.5080733196182</v>
      </c>
      <c r="F284" s="11">
        <v>0.20729730141295644</v>
      </c>
      <c r="G284" s="11">
        <v>796.81909851759804</v>
      </c>
      <c r="H284" s="11">
        <v>-0.63600578922069495</v>
      </c>
      <c r="I284" s="11">
        <v>2311.3684513671355</v>
      </c>
      <c r="J284" s="11">
        <v>2.0069163093906051</v>
      </c>
      <c r="K284" s="11">
        <v>3797.0892427555327</v>
      </c>
      <c r="L284" s="11">
        <v>2.5022184467990094</v>
      </c>
    </row>
    <row r="285" spans="2:12" s="18" customFormat="1" ht="34.9" hidden="1" customHeight="1">
      <c r="B285" s="3">
        <v>2019</v>
      </c>
      <c r="C285" s="96"/>
      <c r="D285" s="96"/>
      <c r="E285" s="93"/>
      <c r="F285" s="93"/>
      <c r="G285" s="93"/>
      <c r="H285" s="93"/>
      <c r="I285" s="93"/>
      <c r="J285" s="93"/>
      <c r="K285" s="93"/>
      <c r="L285" s="93"/>
    </row>
    <row r="286" spans="2:12" s="18" customFormat="1" ht="34.9" hidden="1" customHeight="1">
      <c r="B286" s="14">
        <v>43466</v>
      </c>
      <c r="C286" s="7">
        <v>8264.7776111039693</v>
      </c>
      <c r="D286" s="7">
        <v>0.22801685457294329</v>
      </c>
      <c r="E286" s="7">
        <v>1350.9324935312952</v>
      </c>
      <c r="F286" s="7">
        <v>-1.8580043433123028</v>
      </c>
      <c r="G286" s="7">
        <v>825.0700691125129</v>
      </c>
      <c r="H286" s="7">
        <v>3.5454685571007172</v>
      </c>
      <c r="I286" s="7">
        <v>2461.98659463578</v>
      </c>
      <c r="J286" s="7">
        <v>6.5164056029040518</v>
      </c>
      <c r="K286" s="7">
        <v>3872.5014738028494</v>
      </c>
      <c r="L286" s="7">
        <v>1.9860536907631454</v>
      </c>
    </row>
    <row r="287" spans="2:12" s="18" customFormat="1" ht="34.9" hidden="1" customHeight="1">
      <c r="B287" s="15">
        <v>43497</v>
      </c>
      <c r="C287" s="11">
        <v>8386.9225816264297</v>
      </c>
      <c r="D287" s="11">
        <v>1.4778978487981931</v>
      </c>
      <c r="E287" s="11">
        <v>1375.4980070123124</v>
      </c>
      <c r="F287" s="11">
        <v>1.8184116229822633</v>
      </c>
      <c r="G287" s="11">
        <v>824.07754405004505</v>
      </c>
      <c r="H287" s="11">
        <v>-0.12029585117969699</v>
      </c>
      <c r="I287" s="11">
        <v>2495.1314431163191</v>
      </c>
      <c r="J287" s="11">
        <v>1.3462643766117832</v>
      </c>
      <c r="K287" s="11">
        <v>3920.0845609626963</v>
      </c>
      <c r="L287" s="11">
        <v>1.2287429064066879</v>
      </c>
    </row>
    <row r="288" spans="2:12" s="18" customFormat="1" ht="34.9" hidden="1" customHeight="1">
      <c r="B288" s="14">
        <v>43525</v>
      </c>
      <c r="C288" s="7">
        <v>7943.7517123986554</v>
      </c>
      <c r="D288" s="7">
        <v>-5.2840701093228919</v>
      </c>
      <c r="E288" s="7">
        <v>1350.1173739025037</v>
      </c>
      <c r="F288" s="7">
        <v>-1.8451959203443336</v>
      </c>
      <c r="G288" s="7">
        <v>784.67235011479556</v>
      </c>
      <c r="H288" s="7">
        <v>-4.781733736073801</v>
      </c>
      <c r="I288" s="7">
        <v>2400.5864053585915</v>
      </c>
      <c r="J288" s="7">
        <v>-3.7891806469179334</v>
      </c>
      <c r="K288" s="7">
        <v>3729.50581647835</v>
      </c>
      <c r="L288" s="7">
        <v>-4.8615977926135372</v>
      </c>
    </row>
    <row r="289" spans="2:12" s="18" customFormat="1" ht="34.9" hidden="1" customHeight="1">
      <c r="B289" s="15">
        <v>43556</v>
      </c>
      <c r="C289" s="11">
        <v>7418.6962211280043</v>
      </c>
      <c r="D289" s="11">
        <v>-6.6096664432643504</v>
      </c>
      <c r="E289" s="11">
        <v>1334.0360266152918</v>
      </c>
      <c r="F289" s="11">
        <v>-1.1911073509652592</v>
      </c>
      <c r="G289" s="11">
        <v>731.17962978299386</v>
      </c>
      <c r="H289" s="11">
        <v>-6.8172047000223497</v>
      </c>
      <c r="I289" s="11">
        <v>2305.5845921837704</v>
      </c>
      <c r="J289" s="11">
        <v>-3.9574419384679538</v>
      </c>
      <c r="K289" s="11">
        <v>3503.669542552203</v>
      </c>
      <c r="L289" s="11">
        <v>-6.0553940666433048</v>
      </c>
    </row>
    <row r="290" spans="2:12" s="18" customFormat="1" ht="34.9" hidden="1" customHeight="1">
      <c r="B290" s="14">
        <v>43586</v>
      </c>
      <c r="C290" s="7">
        <v>7389.9705137332448</v>
      </c>
      <c r="D290" s="7">
        <v>-0.38720695036615904</v>
      </c>
      <c r="E290" s="7">
        <v>1316.2238358292097</v>
      </c>
      <c r="F290" s="7">
        <v>-1.3352106263033292</v>
      </c>
      <c r="G290" s="7">
        <v>733.71840470367761</v>
      </c>
      <c r="H290" s="7">
        <v>0.34721630872529552</v>
      </c>
      <c r="I290" s="7">
        <v>2317.2402778351106</v>
      </c>
      <c r="J290" s="7">
        <v>0.50554144449328486</v>
      </c>
      <c r="K290" s="7">
        <v>3500.8361173141088</v>
      </c>
      <c r="L290" s="7">
        <v>-8.0870219171136348E-2</v>
      </c>
    </row>
    <row r="291" spans="2:12" s="18" customFormat="1" ht="34.9" hidden="1" customHeight="1">
      <c r="B291" s="15">
        <v>43617</v>
      </c>
      <c r="C291" s="11">
        <v>7692.1850301981176</v>
      </c>
      <c r="D291" s="11">
        <v>4.0895226293968134</v>
      </c>
      <c r="E291" s="11">
        <v>1315.7216498347555</v>
      </c>
      <c r="F291" s="11">
        <v>-3.8153540513718998E-2</v>
      </c>
      <c r="G291" s="11">
        <v>752.70567558141545</v>
      </c>
      <c r="H291" s="11">
        <v>2.5878144470706133</v>
      </c>
      <c r="I291" s="11">
        <v>2423.2456549297976</v>
      </c>
      <c r="J291" s="11">
        <v>4.5746389836501145</v>
      </c>
      <c r="K291" s="11">
        <v>3640.0660541921275</v>
      </c>
      <c r="L291" s="11">
        <v>3.9770481168606597</v>
      </c>
    </row>
    <row r="292" spans="2:12" s="18" customFormat="1" ht="34.9" hidden="1" customHeight="1">
      <c r="B292" s="14">
        <v>43647</v>
      </c>
      <c r="C292" s="7">
        <v>7474.2424327202616</v>
      </c>
      <c r="D292" s="7">
        <v>-2.8332989472074965</v>
      </c>
      <c r="E292" s="7">
        <v>1310.3723522322439</v>
      </c>
      <c r="F292" s="7">
        <v>-0.40656757477415262</v>
      </c>
      <c r="G292" s="7">
        <v>768.00545086053023</v>
      </c>
      <c r="H292" s="7">
        <v>2.03263716157005</v>
      </c>
      <c r="I292" s="7">
        <v>2579.2068937953354</v>
      </c>
      <c r="J292" s="7">
        <v>6.4360473957006281</v>
      </c>
      <c r="K292" s="7">
        <v>3638.96280736886</v>
      </c>
      <c r="L292" s="7">
        <v>-3.0308428661529607E-2</v>
      </c>
    </row>
    <row r="293" spans="2:12" s="18" customFormat="1" ht="34.9" hidden="1" customHeight="1">
      <c r="B293" s="15">
        <v>43678</v>
      </c>
      <c r="C293" s="11">
        <v>7276.4283919666414</v>
      </c>
      <c r="D293" s="11">
        <v>-2.6466099077498861</v>
      </c>
      <c r="E293" s="11">
        <v>1332.5583268808223</v>
      </c>
      <c r="F293" s="11">
        <v>1.6931046057850896</v>
      </c>
      <c r="G293" s="11">
        <v>753.7914040465439</v>
      </c>
      <c r="H293" s="11">
        <v>-1.8507742097481072</v>
      </c>
      <c r="I293" s="11">
        <v>2478.0559586372246</v>
      </c>
      <c r="J293" s="11">
        <v>-3.9217844602325025</v>
      </c>
      <c r="K293" s="11">
        <v>3535.678976435574</v>
      </c>
      <c r="L293" s="11">
        <v>-2.8382766299270057</v>
      </c>
    </row>
    <row r="294" spans="2:12" s="18" customFormat="1" ht="34.9" hidden="1" customHeight="1">
      <c r="B294" s="14">
        <v>43709</v>
      </c>
      <c r="C294" s="7">
        <v>7188.0011518476058</v>
      </c>
      <c r="D294" s="7">
        <v>-1.21525610307196</v>
      </c>
      <c r="E294" s="7">
        <v>1310.2426263929317</v>
      </c>
      <c r="F294" s="7">
        <v>-1.6746509355523576</v>
      </c>
      <c r="G294" s="7">
        <v>746.3251838521835</v>
      </c>
      <c r="H294" s="7">
        <v>-0.99048890107791276</v>
      </c>
      <c r="I294" s="7">
        <v>2542.4649915111959</v>
      </c>
      <c r="J294" s="7">
        <v>2.5991758842036861</v>
      </c>
      <c r="K294" s="7">
        <v>3525.7073021270189</v>
      </c>
      <c r="L294" s="7">
        <v>-0.28202996864290508</v>
      </c>
    </row>
    <row r="295" spans="2:12" s="18" customFormat="1" ht="34.9" hidden="1" customHeight="1">
      <c r="B295" s="15">
        <v>43739</v>
      </c>
      <c r="C295" s="11">
        <v>6989.8002997797312</v>
      </c>
      <c r="D295" s="11">
        <v>-2.7573848122844136</v>
      </c>
      <c r="E295" s="11">
        <v>1301.3850701471431</v>
      </c>
      <c r="F295" s="11">
        <v>-0.67602412464424777</v>
      </c>
      <c r="G295" s="11">
        <v>739.32043824933044</v>
      </c>
      <c r="H295" s="11">
        <v>-0.93856481791192437</v>
      </c>
      <c r="I295" s="11">
        <v>2532.3103163071278</v>
      </c>
      <c r="J295" s="11">
        <v>-0.39940275433378858</v>
      </c>
      <c r="K295" s="11">
        <v>3458.0429231201274</v>
      </c>
      <c r="L295" s="11">
        <v>-1.919171763523031</v>
      </c>
    </row>
    <row r="296" spans="2:12" s="18" customFormat="1" ht="34.9" hidden="1" customHeight="1">
      <c r="B296" s="14">
        <v>43770</v>
      </c>
      <c r="C296" s="7">
        <v>7019.5419434898658</v>
      </c>
      <c r="D296" s="7">
        <v>0.42550062139932177</v>
      </c>
      <c r="E296" s="7">
        <v>1316.0067075412271</v>
      </c>
      <c r="F296" s="7">
        <v>1.1235442706001519</v>
      </c>
      <c r="G296" s="7">
        <v>730.47138967421449</v>
      </c>
      <c r="H296" s="7">
        <v>-1.1969165354159594</v>
      </c>
      <c r="I296" s="7">
        <v>2589.1732181435013</v>
      </c>
      <c r="J296" s="7">
        <v>2.2454950118158123</v>
      </c>
      <c r="K296" s="7">
        <v>3479.5040942610772</v>
      </c>
      <c r="L296" s="7">
        <v>0.62061610043826487</v>
      </c>
    </row>
    <row r="297" spans="2:12" s="18" customFormat="1" ht="34.9" hidden="1" customHeight="1">
      <c r="B297" s="15">
        <v>43800</v>
      </c>
      <c r="C297" s="11">
        <v>7095.6458588667792</v>
      </c>
      <c r="D297" s="11">
        <v>1.0841721011083161</v>
      </c>
      <c r="E297" s="11">
        <v>1282.5082787281942</v>
      </c>
      <c r="F297" s="11">
        <v>-2.5454603400631548</v>
      </c>
      <c r="G297" s="11">
        <v>735.73319286472645</v>
      </c>
      <c r="H297" s="11">
        <v>0.72032981235017335</v>
      </c>
      <c r="I297" s="11">
        <v>2613.1626543063044</v>
      </c>
      <c r="J297" s="11">
        <v>0.92652882374566481</v>
      </c>
      <c r="K297" s="11">
        <v>3513.7610656378256</v>
      </c>
      <c r="L297" s="11">
        <v>0.98453602722439193</v>
      </c>
    </row>
    <row r="298" spans="2:12" s="18" customFormat="1" ht="34.9" hidden="1" customHeight="1">
      <c r="B298" s="3">
        <v>2020</v>
      </c>
      <c r="C298" s="96"/>
      <c r="D298" s="96"/>
      <c r="E298" s="93"/>
      <c r="F298" s="93"/>
      <c r="G298" s="93"/>
      <c r="H298" s="93"/>
      <c r="I298" s="93"/>
      <c r="J298" s="93"/>
      <c r="K298" s="93"/>
      <c r="L298" s="93"/>
    </row>
    <row r="299" spans="2:12" s="18" customFormat="1" ht="34.9" hidden="1" customHeight="1">
      <c r="B299" s="14">
        <v>43831</v>
      </c>
      <c r="C299" s="7">
        <v>7205.9891184406224</v>
      </c>
      <c r="D299" s="7">
        <v>1.5550840863338466</v>
      </c>
      <c r="E299" s="7">
        <v>1339.8106122118836</v>
      </c>
      <c r="F299" s="7">
        <v>4.4679893638202017</v>
      </c>
      <c r="G299" s="7">
        <v>744.76869821774483</v>
      </c>
      <c r="H299" s="7">
        <v>1.2280953803153638</v>
      </c>
      <c r="I299" s="7">
        <v>2689.2551650773316</v>
      </c>
      <c r="J299" s="7">
        <v>2.9118933965182947</v>
      </c>
      <c r="K299" s="7">
        <v>3580.9684597199434</v>
      </c>
      <c r="L299" s="7">
        <v>1.912691068819683</v>
      </c>
    </row>
    <row r="300" spans="2:12" s="18" customFormat="1" ht="34.9" hidden="1" customHeight="1">
      <c r="B300" s="15">
        <v>43862</v>
      </c>
      <c r="C300" s="11">
        <v>6831.9871047225542</v>
      </c>
      <c r="D300" s="11">
        <v>-5.1901551275031927</v>
      </c>
      <c r="E300" s="11">
        <v>1340.2180006368721</v>
      </c>
      <c r="F300" s="11">
        <v>3.0406418733752716E-2</v>
      </c>
      <c r="G300" s="11">
        <v>747.09321044917692</v>
      </c>
      <c r="H300" s="11">
        <v>0.31211196670788421</v>
      </c>
      <c r="I300" s="11">
        <v>2610.8175887517191</v>
      </c>
      <c r="J300" s="11">
        <v>-2.9167026373771776</v>
      </c>
      <c r="K300" s="11">
        <v>3446.8297814242355</v>
      </c>
      <c r="L300" s="11">
        <v>-3.7458771224753717</v>
      </c>
    </row>
    <row r="301" spans="2:12" s="18" customFormat="1" ht="34.9" hidden="1" customHeight="1">
      <c r="B301" s="14" t="s">
        <v>129</v>
      </c>
      <c r="C301" s="7">
        <v>5884.4226510904709</v>
      </c>
      <c r="D301" s="7">
        <v>-13.869529305421068</v>
      </c>
      <c r="E301" s="7">
        <v>1316.601349316895</v>
      </c>
      <c r="F301" s="7">
        <v>-1.7621499867002566</v>
      </c>
      <c r="G301" s="7">
        <v>705.68048566806078</v>
      </c>
      <c r="H301" s="7">
        <v>-5.5431804494940451</v>
      </c>
      <c r="I301" s="7">
        <v>2424.9299685605242</v>
      </c>
      <c r="J301" s="7">
        <v>-7.1199007158547323</v>
      </c>
      <c r="K301" s="7">
        <v>3077.6237839366254</v>
      </c>
      <c r="L301" s="7">
        <v>-10.711465923769914</v>
      </c>
    </row>
    <row r="302" spans="2:12" s="18" customFormat="1" ht="34.9" hidden="1" customHeight="1">
      <c r="B302" s="15">
        <v>43952</v>
      </c>
      <c r="C302" s="11">
        <v>5738.623418661894</v>
      </c>
      <c r="D302" s="11">
        <v>-2.4777151655066443</v>
      </c>
      <c r="E302" s="11">
        <v>1335.9557397432463</v>
      </c>
      <c r="F302" s="11">
        <v>1.4700266285153862</v>
      </c>
      <c r="G302" s="11">
        <v>683.51231034120815</v>
      </c>
      <c r="H302" s="11">
        <v>-3.1413898750319302</v>
      </c>
      <c r="I302" s="11">
        <v>2401.1256069613851</v>
      </c>
      <c r="J302" s="11">
        <v>-0.98165150778641852</v>
      </c>
      <c r="K302" s="11">
        <v>3012.3964199328498</v>
      </c>
      <c r="L302" s="11">
        <v>-2.1194066781074383</v>
      </c>
    </row>
    <row r="303" spans="2:12" s="18" customFormat="1" ht="34.9" hidden="1" customHeight="1">
      <c r="B303" s="14">
        <v>43983</v>
      </c>
      <c r="C303" s="7">
        <v>5622.13</v>
      </c>
      <c r="D303" s="7">
        <v>-2.0299889043609243</v>
      </c>
      <c r="E303" s="7">
        <v>1324.21</v>
      </c>
      <c r="F303" s="7">
        <v>-0.87920126347177385</v>
      </c>
      <c r="G303" s="7">
        <v>668.9</v>
      </c>
      <c r="H303" s="7">
        <v>-2.1378269447574039</v>
      </c>
      <c r="I303" s="7">
        <v>2306.9899999999998</v>
      </c>
      <c r="J303" s="7">
        <v>-3.9204782410576788</v>
      </c>
      <c r="K303" s="7">
        <v>2935.18</v>
      </c>
      <c r="L303" s="7">
        <v>-2.5632887963188855</v>
      </c>
    </row>
    <row r="304" spans="2:12" s="18" customFormat="1" ht="34.9" hidden="1" customHeight="1">
      <c r="B304" s="15">
        <v>44013</v>
      </c>
      <c r="C304" s="11">
        <v>5453.4900411089393</v>
      </c>
      <c r="D304" s="11">
        <v>-2.9995741630140293</v>
      </c>
      <c r="E304" s="11">
        <v>1303.1175700723145</v>
      </c>
      <c r="F304" s="11">
        <v>-1.5928311920077265</v>
      </c>
      <c r="G304" s="11">
        <v>673.47306502463687</v>
      </c>
      <c r="H304" s="11">
        <v>0.68366946100117953</v>
      </c>
      <c r="I304" s="11">
        <v>2314.8602159703064</v>
      </c>
      <c r="J304" s="11">
        <v>0.34114651430248166</v>
      </c>
      <c r="K304" s="11">
        <v>2892.1861122584055</v>
      </c>
      <c r="L304" s="11">
        <v>-1.4647785737704089</v>
      </c>
    </row>
    <row r="305" spans="2:12" s="18" customFormat="1" ht="34.9" hidden="1" customHeight="1">
      <c r="B305" s="14">
        <v>44044</v>
      </c>
      <c r="C305" s="7">
        <v>5371.4151316050875</v>
      </c>
      <c r="D305" s="7">
        <v>-1.5049978799844377</v>
      </c>
      <c r="E305" s="7">
        <v>1291.8666148331208</v>
      </c>
      <c r="F305" s="7">
        <v>-0.86338757895569884</v>
      </c>
      <c r="G305" s="7">
        <v>661.2898558600001</v>
      </c>
      <c r="H305" s="7">
        <v>-1.8090120893240247</v>
      </c>
      <c r="I305" s="7">
        <v>2373.7745918397018</v>
      </c>
      <c r="J305" s="7">
        <v>2.5450511207088411</v>
      </c>
      <c r="K305" s="7">
        <v>2879.7515856657174</v>
      </c>
      <c r="L305" s="7">
        <v>-0.42993521544083535</v>
      </c>
    </row>
    <row r="306" spans="2:12" s="18" customFormat="1" ht="34.9" hidden="1" customHeight="1">
      <c r="B306" s="15">
        <v>44075</v>
      </c>
      <c r="C306" s="11">
        <v>5450.7143166321603</v>
      </c>
      <c r="D306" s="11">
        <v>1.4763183087540765</v>
      </c>
      <c r="E306" s="11">
        <v>1292.4496432258645</v>
      </c>
      <c r="F306" s="11">
        <v>4.513069585121432E-2</v>
      </c>
      <c r="G306" s="11">
        <v>670.5847419084522</v>
      </c>
      <c r="H306" s="11">
        <v>1.4055691261684711</v>
      </c>
      <c r="I306" s="11">
        <v>2400.0751665194434</v>
      </c>
      <c r="J306" s="11">
        <v>1.1079642848210947</v>
      </c>
      <c r="K306" s="11">
        <v>2918.5151012759993</v>
      </c>
      <c r="L306" s="11">
        <v>1.3460715085020336</v>
      </c>
    </row>
    <row r="307" spans="2:12" s="18" customFormat="1" ht="34.9" hidden="1" customHeight="1">
      <c r="B307" s="14">
        <v>44105</v>
      </c>
      <c r="C307" s="7">
        <v>5218.9304830439978</v>
      </c>
      <c r="D307" s="7">
        <v>-4.2523570329287548</v>
      </c>
      <c r="E307" s="7">
        <v>1283.4977978722304</v>
      </c>
      <c r="F307" s="7">
        <v>-0.69262623890636865</v>
      </c>
      <c r="G307" s="7">
        <v>664.85784403318269</v>
      </c>
      <c r="H307" s="7">
        <v>-0.85401553560121579</v>
      </c>
      <c r="I307" s="7">
        <v>2503.0226920743889</v>
      </c>
      <c r="J307" s="7">
        <v>4.2893458917888205</v>
      </c>
      <c r="K307" s="7">
        <v>2869.5435737430107</v>
      </c>
      <c r="L307" s="7">
        <v>-1.677960395393463</v>
      </c>
    </row>
    <row r="308" spans="2:12" s="18" customFormat="1" ht="34.9" hidden="1" customHeight="1">
      <c r="B308" s="15">
        <v>44136</v>
      </c>
      <c r="C308" s="11">
        <v>5238.265940794322</v>
      </c>
      <c r="D308" s="11">
        <v>0.3704869764627805</v>
      </c>
      <c r="E308" s="11">
        <v>1299.0041423936693</v>
      </c>
      <c r="F308" s="11">
        <v>1.208131758943809</v>
      </c>
      <c r="G308" s="11">
        <v>678.48233878066424</v>
      </c>
      <c r="H308" s="11">
        <v>2.0492342640995531</v>
      </c>
      <c r="I308" s="11">
        <v>2544.6554476466895</v>
      </c>
      <c r="J308" s="11">
        <v>1.6632991664089714</v>
      </c>
      <c r="K308" s="11">
        <v>2898.7889812805938</v>
      </c>
      <c r="L308" s="11">
        <v>1.0191658285026772</v>
      </c>
    </row>
    <row r="309" spans="2:12" s="18" customFormat="1" ht="34.9" hidden="1" customHeight="1">
      <c r="B309" s="14">
        <v>44166</v>
      </c>
      <c r="C309" s="7">
        <v>5410.6412094494262</v>
      </c>
      <c r="D309" s="7">
        <v>3.2906933440070008</v>
      </c>
      <c r="E309" s="7">
        <v>1309.1805290632385</v>
      </c>
      <c r="F309" s="7">
        <v>0.78339909300191302</v>
      </c>
      <c r="G309" s="7">
        <v>704.24351651232905</v>
      </c>
      <c r="H309" s="7">
        <v>3.7968825803132322</v>
      </c>
      <c r="I309" s="7">
        <v>2818.0249936027922</v>
      </c>
      <c r="J309" s="7">
        <v>10.742890406200821</v>
      </c>
      <c r="K309" s="7">
        <v>3049.574583213036</v>
      </c>
      <c r="L309" s="7">
        <v>5.2016756965120647</v>
      </c>
    </row>
    <row r="310" spans="2:12" s="18" customFormat="1" ht="34.9" hidden="1" customHeight="1">
      <c r="B310" s="3">
        <v>2021</v>
      </c>
      <c r="C310" s="96"/>
      <c r="D310" s="96"/>
      <c r="E310" s="93"/>
      <c r="F310" s="93"/>
      <c r="G310" s="93"/>
      <c r="H310" s="93"/>
      <c r="I310" s="93"/>
      <c r="J310" s="93"/>
      <c r="K310" s="93"/>
      <c r="L310" s="93"/>
    </row>
    <row r="311" spans="2:12" s="18" customFormat="1" ht="34.9" hidden="1" customHeight="1">
      <c r="B311" s="14">
        <v>44197</v>
      </c>
      <c r="C311" s="7">
        <v>5600.7398843444134</v>
      </c>
      <c r="D311" s="7">
        <v>3.5134223012789789</v>
      </c>
      <c r="E311" s="7">
        <v>1281.7541166423971</v>
      </c>
      <c r="F311" s="7">
        <v>-2.0949297527718236</v>
      </c>
      <c r="G311" s="7">
        <v>731.07270709834688</v>
      </c>
      <c r="H311" s="7">
        <v>3.8096467992897898</v>
      </c>
      <c r="I311" s="7">
        <v>2956.7521108554411</v>
      </c>
      <c r="J311" s="7">
        <v>4.9228490722251772</v>
      </c>
      <c r="K311" s="7">
        <v>3168.041853299655</v>
      </c>
      <c r="L311" s="7">
        <v>3.8847146332719573</v>
      </c>
    </row>
    <row r="312" spans="2:12" s="18" customFormat="1" ht="34.9" hidden="1" customHeight="1">
      <c r="B312" s="15">
        <v>44228</v>
      </c>
      <c r="C312" s="11">
        <v>5519.1420995137187</v>
      </c>
      <c r="D312" s="11">
        <v>-1.4569108102803097</v>
      </c>
      <c r="E312" s="11">
        <v>1272.7818202458764</v>
      </c>
      <c r="F312" s="11">
        <v>-0.70000137155977749</v>
      </c>
      <c r="G312" s="11">
        <v>721.91875681590977</v>
      </c>
      <c r="H312" s="11">
        <v>-1.2521258410493119</v>
      </c>
      <c r="I312" s="11">
        <v>3318.4215807597529</v>
      </c>
      <c r="J312" s="11">
        <v>12.231984838244504</v>
      </c>
      <c r="K312" s="11">
        <v>3237.5054106388475</v>
      </c>
      <c r="L312" s="11">
        <v>2.1926338273227985</v>
      </c>
    </row>
    <row r="313" spans="2:12" s="18" customFormat="1" ht="34.9" hidden="1" customHeight="1">
      <c r="B313" s="14">
        <v>44256</v>
      </c>
      <c r="C313" s="7">
        <v>5393.3236078204745</v>
      </c>
      <c r="D313" s="7">
        <v>-2.2796748013487411</v>
      </c>
      <c r="E313" s="7">
        <v>1271.560412823359</v>
      </c>
      <c r="F313" s="7">
        <v>-9.5963613173022377E-2</v>
      </c>
      <c r="G313" s="7">
        <v>719.04742092938523</v>
      </c>
      <c r="H313" s="7">
        <v>-0.39773670643894476</v>
      </c>
      <c r="I313" s="7">
        <v>3614.4524614974971</v>
      </c>
      <c r="J313" s="7">
        <v>8.9208340029529367</v>
      </c>
      <c r="K313" s="7">
        <v>3279.3622466540669</v>
      </c>
      <c r="L313" s="7">
        <v>1.2928730830123802</v>
      </c>
    </row>
    <row r="314" spans="2:12" s="18" customFormat="1" ht="34.9" hidden="1" customHeight="1">
      <c r="B314" s="15">
        <v>44287</v>
      </c>
      <c r="C314" s="11">
        <v>5441.9722654575889</v>
      </c>
      <c r="D314" s="11">
        <v>0.90201629226498437</v>
      </c>
      <c r="E314" s="11">
        <v>1253.8868252842365</v>
      </c>
      <c r="F314" s="11">
        <v>-1.389913319169811</v>
      </c>
      <c r="G314" s="11">
        <v>709.26768575368737</v>
      </c>
      <c r="H314" s="11">
        <v>-1.3600959952067337</v>
      </c>
      <c r="I314" s="11">
        <v>3589.8975424010487</v>
      </c>
      <c r="J314" s="11">
        <v>-0.67935377095194038</v>
      </c>
      <c r="K314" s="11">
        <v>3280.9803328930961</v>
      </c>
      <c r="L314" s="11">
        <v>4.9341491342724808E-2</v>
      </c>
    </row>
    <row r="315" spans="2:12" s="18" customFormat="1" ht="34.9" hidden="1" customHeight="1">
      <c r="B315" s="14">
        <v>44317</v>
      </c>
      <c r="C315" s="7">
        <v>6716.0982850076271</v>
      </c>
      <c r="D315" s="7">
        <v>23.41294584754565</v>
      </c>
      <c r="E315" s="7">
        <v>1272.966582612645</v>
      </c>
      <c r="F315" s="7">
        <v>1.5216490789815351</v>
      </c>
      <c r="G315" s="7">
        <v>785.30672431178516</v>
      </c>
      <c r="H315" s="7">
        <v>10.720781460288386</v>
      </c>
      <c r="I315" s="7">
        <v>4320.1327482595825</v>
      </c>
      <c r="J315" s="7">
        <v>20.341394071378627</v>
      </c>
      <c r="K315" s="7">
        <v>3950.2690475180616</v>
      </c>
      <c r="L315" s="7">
        <v>20.399046831067146</v>
      </c>
    </row>
    <row r="316" spans="2:12" s="18" customFormat="1" ht="34.9" hidden="1" customHeight="1">
      <c r="B316" s="15">
        <v>44348</v>
      </c>
      <c r="C316" s="11">
        <v>6810.3638651352312</v>
      </c>
      <c r="D316" s="11">
        <v>1.4035765429167846</v>
      </c>
      <c r="E316" s="11">
        <v>1293.2324896617131</v>
      </c>
      <c r="F316" s="11">
        <v>1.5920219215397102</v>
      </c>
      <c r="G316" s="11">
        <v>784.95878710075726</v>
      </c>
      <c r="H316" s="11">
        <v>-4.4305899880436872E-2</v>
      </c>
      <c r="I316" s="11">
        <v>4902.0610374182606</v>
      </c>
      <c r="J316" s="11">
        <v>13.470148328037258</v>
      </c>
      <c r="K316" s="11">
        <v>4141.0231064881109</v>
      </c>
      <c r="L316" s="11">
        <v>4.8288877713253298</v>
      </c>
    </row>
    <row r="317" spans="2:12" s="18" customFormat="1" ht="34.9" hidden="1" customHeight="1">
      <c r="B317" s="14">
        <v>44378</v>
      </c>
      <c r="C317" s="7">
        <v>6639.283917120958</v>
      </c>
      <c r="D317" s="7">
        <v>-2.5120529739988573</v>
      </c>
      <c r="E317" s="7">
        <v>1262.7305219665368</v>
      </c>
      <c r="F317" s="7">
        <v>-2.3585834673203299</v>
      </c>
      <c r="G317" s="7">
        <v>780.06302688753044</v>
      </c>
      <c r="H317" s="7">
        <v>-0.62369646581182936</v>
      </c>
      <c r="I317" s="7">
        <v>5060.5247821067633</v>
      </c>
      <c r="J317" s="7">
        <v>3.2325942798125507</v>
      </c>
      <c r="K317" s="7">
        <v>4125.831183520655</v>
      </c>
      <c r="L317" s="7">
        <v>-0.36686399898743227</v>
      </c>
    </row>
    <row r="318" spans="2:12" s="18" customFormat="1" ht="34.9" hidden="1" customHeight="1">
      <c r="B318" s="15">
        <v>44409</v>
      </c>
      <c r="C318" s="11">
        <v>6606.4808760976466</v>
      </c>
      <c r="D318" s="11">
        <v>-0.4940749850856796</v>
      </c>
      <c r="E318" s="11">
        <v>1251.8150368230247</v>
      </c>
      <c r="F318" s="11">
        <v>-0.86443504402765603</v>
      </c>
      <c r="G318" s="11">
        <v>770.8410731423121</v>
      </c>
      <c r="H318" s="11">
        <v>-1.1822062355671625</v>
      </c>
      <c r="I318" s="11">
        <v>4762.358331743515</v>
      </c>
      <c r="J318" s="11">
        <v>-5.8920065250449678</v>
      </c>
      <c r="K318" s="11">
        <v>4024.8375673594005</v>
      </c>
      <c r="L318" s="11">
        <v>-2.4478368519934124</v>
      </c>
    </row>
    <row r="319" spans="2:12" s="18" customFormat="1" ht="34.9" hidden="1" customHeight="1">
      <c r="B319" s="14">
        <v>44440</v>
      </c>
      <c r="C319" s="7">
        <v>6453.326386022477</v>
      </c>
      <c r="D319" s="7">
        <v>-2.3182461729252091</v>
      </c>
      <c r="E319" s="7">
        <v>1395.8405713612842</v>
      </c>
      <c r="F319" s="7">
        <v>11.505336675279221</v>
      </c>
      <c r="G319" s="7">
        <v>785.46992263738173</v>
      </c>
      <c r="H319" s="7">
        <v>1.8977776359834442</v>
      </c>
      <c r="I319" s="7">
        <v>4743.9617959331608</v>
      </c>
      <c r="J319" s="7">
        <v>-0.38629045798028727</v>
      </c>
      <c r="K319" s="7">
        <v>3988.9435559722656</v>
      </c>
      <c r="L319" s="7">
        <v>-0.89181267036035905</v>
      </c>
    </row>
    <row r="320" spans="2:12" s="18" customFormat="1" ht="34.9" hidden="1" customHeight="1">
      <c r="B320" s="15">
        <v>44470</v>
      </c>
      <c r="C320" s="11">
        <v>6553.9077829631888</v>
      </c>
      <c r="D320" s="11">
        <v>1.558597704876119</v>
      </c>
      <c r="E320" s="11">
        <v>1387.5200715674848</v>
      </c>
      <c r="F320" s="11">
        <v>-0.59609241660635304</v>
      </c>
      <c r="G320" s="11">
        <v>804.54909274767328</v>
      </c>
      <c r="H320" s="11">
        <v>2.4290134555667198</v>
      </c>
      <c r="I320" s="11">
        <v>4747.054466428478</v>
      </c>
      <c r="J320" s="11">
        <v>6.5191724308744092E-2</v>
      </c>
      <c r="K320" s="11">
        <v>4034.659172195119</v>
      </c>
      <c r="L320" s="11">
        <v>1.1460582377609274</v>
      </c>
    </row>
    <row r="321" spans="2:12" s="18" customFormat="1" ht="34.9" hidden="1" customHeight="1">
      <c r="B321" s="14">
        <v>44501</v>
      </c>
      <c r="C321" s="7">
        <v>6324.364795195539</v>
      </c>
      <c r="D321" s="7">
        <v>-3.502383545345944</v>
      </c>
      <c r="E321" s="7">
        <v>1355.7998040834209</v>
      </c>
      <c r="F321" s="7">
        <v>-2.2861123333682287</v>
      </c>
      <c r="G321" s="7">
        <v>783.92583713788235</v>
      </c>
      <c r="H321" s="7">
        <v>-2.5633309136374738</v>
      </c>
      <c r="I321" s="7">
        <v>4622.3932186028542</v>
      </c>
      <c r="J321" s="7">
        <v>-2.6260757846204963</v>
      </c>
      <c r="K321" s="7">
        <v>3908.8183743436061</v>
      </c>
      <c r="L321" s="7">
        <v>-3.1189945043870293</v>
      </c>
    </row>
    <row r="322" spans="2:12" s="18" customFormat="1" ht="34.9" hidden="1" customHeight="1">
      <c r="B322" s="15">
        <v>44531</v>
      </c>
      <c r="C322" s="11">
        <v>6566.3725669025489</v>
      </c>
      <c r="D322" s="11">
        <v>3.8265941251658608</v>
      </c>
      <c r="E322" s="11">
        <v>1328.3496128329086</v>
      </c>
      <c r="F322" s="11">
        <v>-2.0246493005705801</v>
      </c>
      <c r="G322" s="11">
        <v>782.37513604242156</v>
      </c>
      <c r="H322" s="11">
        <v>-0.1978122192173748</v>
      </c>
      <c r="I322" s="11">
        <v>4700.4878105064408</v>
      </c>
      <c r="J322" s="11">
        <v>1.6894839579915999</v>
      </c>
      <c r="K322" s="11">
        <v>4005.2714181200786</v>
      </c>
      <c r="L322" s="11">
        <v>2.4675754803437089</v>
      </c>
    </row>
    <row r="323" spans="2:12" s="18" customFormat="1" ht="34.9" hidden="1" customHeight="1">
      <c r="B323" s="3">
        <v>2022</v>
      </c>
      <c r="C323" s="96"/>
      <c r="D323" s="96"/>
      <c r="E323" s="93"/>
      <c r="F323" s="93"/>
      <c r="G323" s="93"/>
      <c r="H323" s="93"/>
      <c r="I323" s="93"/>
      <c r="J323" s="93"/>
      <c r="K323" s="93"/>
      <c r="L323" s="93"/>
    </row>
    <row r="324" spans="2:12" s="18" customFormat="1" ht="34.9" hidden="1" customHeight="1">
      <c r="B324" s="14">
        <v>44562</v>
      </c>
      <c r="C324" s="7">
        <v>6713.19</v>
      </c>
      <c r="D324" s="7">
        <v>2.2358986122334334</v>
      </c>
      <c r="E324" s="7">
        <v>1386.46</v>
      </c>
      <c r="F324" s="7">
        <v>4.3746304892702259</v>
      </c>
      <c r="G324" s="7">
        <v>794.54</v>
      </c>
      <c r="H324" s="7">
        <v>1.5548633126447831</v>
      </c>
      <c r="I324" s="7">
        <v>4650.59</v>
      </c>
      <c r="J324" s="7">
        <v>-1.0615453654599483</v>
      </c>
      <c r="K324" s="7">
        <v>4049.78</v>
      </c>
      <c r="L324" s="7">
        <v>1.1112500810447568</v>
      </c>
    </row>
    <row r="325" spans="2:12" s="18" customFormat="1" ht="34.9" hidden="1" customHeight="1">
      <c r="B325" s="15">
        <v>44593</v>
      </c>
      <c r="C325" s="11">
        <v>6576.07</v>
      </c>
      <c r="D325" s="11">
        <v>-2.042546092096309</v>
      </c>
      <c r="E325" s="11">
        <v>1398.01</v>
      </c>
      <c r="F325" s="11">
        <v>0.83305684981895833</v>
      </c>
      <c r="G325" s="11">
        <v>780.48</v>
      </c>
      <c r="H325" s="11">
        <v>-1.76957736551967</v>
      </c>
      <c r="I325" s="11">
        <v>4797.3</v>
      </c>
      <c r="J325" s="11">
        <v>3.1546534955779748</v>
      </c>
      <c r="K325" s="11">
        <v>4037.96</v>
      </c>
      <c r="L325" s="11">
        <v>-0.29186770639393345</v>
      </c>
    </row>
    <row r="326" spans="2:12" s="18" customFormat="1" ht="34.9" hidden="1" customHeight="1">
      <c r="B326" s="14">
        <v>44621</v>
      </c>
      <c r="C326" s="7">
        <v>6517.62</v>
      </c>
      <c r="D326" s="7">
        <v>-0.88882873813690422</v>
      </c>
      <c r="E326" s="7">
        <v>1343.18</v>
      </c>
      <c r="F326" s="7">
        <v>-3.9220034191457809</v>
      </c>
      <c r="G326" s="7">
        <v>752.01</v>
      </c>
      <c r="H326" s="7">
        <v>-3.647755227552274</v>
      </c>
      <c r="I326" s="7">
        <v>5848.23</v>
      </c>
      <c r="J326" s="7">
        <v>21.9066975173535</v>
      </c>
      <c r="K326" s="7">
        <v>4291.0600000000004</v>
      </c>
      <c r="L326" s="7">
        <v>6.2680165231948859</v>
      </c>
    </row>
    <row r="327" spans="2:12" s="18" customFormat="1" ht="34.9" hidden="1" customHeight="1">
      <c r="B327" s="15">
        <v>44652</v>
      </c>
      <c r="C327" s="11">
        <v>6695.35</v>
      </c>
      <c r="D327" s="11">
        <v>2.7269156532599315</v>
      </c>
      <c r="E327" s="11">
        <v>1373.34</v>
      </c>
      <c r="F327" s="11">
        <v>2.2454175910897822</v>
      </c>
      <c r="G327" s="11">
        <v>758.29</v>
      </c>
      <c r="H327" s="11">
        <v>0.83509527798832917</v>
      </c>
      <c r="I327" s="11">
        <v>6959.03</v>
      </c>
      <c r="J327" s="11">
        <v>18.993781024344123</v>
      </c>
      <c r="K327" s="11">
        <v>4664.45</v>
      </c>
      <c r="L327" s="11">
        <v>8.7015795630916326</v>
      </c>
    </row>
    <row r="328" spans="2:12" s="18" customFormat="1" ht="34.9" hidden="1" customHeight="1">
      <c r="B328" s="14">
        <v>44682</v>
      </c>
      <c r="C328" s="7">
        <v>6644.77</v>
      </c>
      <c r="D328" s="7">
        <v>-0.75544967776143279</v>
      </c>
      <c r="E328" s="7">
        <v>1355.7</v>
      </c>
      <c r="F328" s="7">
        <v>-1.2844597841757954</v>
      </c>
      <c r="G328" s="7">
        <v>777.33</v>
      </c>
      <c r="H328" s="7">
        <v>2.5109127114956165</v>
      </c>
      <c r="I328" s="7">
        <v>7820.84</v>
      </c>
      <c r="J328" s="7">
        <v>12.384053524700999</v>
      </c>
      <c r="K328" s="7">
        <v>4905.6499999999996</v>
      </c>
      <c r="L328" s="7">
        <v>5.1710276667131128</v>
      </c>
    </row>
    <row r="329" spans="2:12" s="18" customFormat="1" ht="34.9" hidden="1" customHeight="1">
      <c r="B329" s="15">
        <v>44713</v>
      </c>
      <c r="C329" s="11">
        <v>6642.39</v>
      </c>
      <c r="D329" s="11">
        <v>-3.5817643048596803E-2</v>
      </c>
      <c r="E329" s="11">
        <v>1268.53</v>
      </c>
      <c r="F329" s="11">
        <v>-6.4298886184259052</v>
      </c>
      <c r="G329" s="11">
        <v>794.92</v>
      </c>
      <c r="H329" s="11">
        <v>2.2628741975737388</v>
      </c>
      <c r="I329" s="11">
        <v>7586.17</v>
      </c>
      <c r="J329" s="11">
        <v>-3.0005728284941302</v>
      </c>
      <c r="K329" s="11">
        <v>4848.3900000000003</v>
      </c>
      <c r="L329" s="11">
        <v>-1.1672255460540293</v>
      </c>
    </row>
    <row r="330" spans="2:12" s="18" customFormat="1" ht="34.9" hidden="1" customHeight="1">
      <c r="B330" s="14">
        <v>44743</v>
      </c>
      <c r="C330" s="7">
        <v>6829.5</v>
      </c>
      <c r="D330" s="7">
        <v>2.8169077696431399</v>
      </c>
      <c r="E330" s="7">
        <v>1278.68</v>
      </c>
      <c r="F330" s="7">
        <v>0.80013874326978485</v>
      </c>
      <c r="G330" s="7">
        <v>824.71</v>
      </c>
      <c r="H330" s="7">
        <v>3.7475469229608205</v>
      </c>
      <c r="I330" s="7">
        <v>7980.94</v>
      </c>
      <c r="J330" s="7">
        <v>5.2038116730840356</v>
      </c>
      <c r="K330" s="7">
        <v>5039.8900000000003</v>
      </c>
      <c r="L330" s="7">
        <v>3.9497647672732672</v>
      </c>
    </row>
    <row r="331" spans="2:12" s="18" customFormat="1" ht="34.9" hidden="1" customHeight="1">
      <c r="B331" s="15">
        <v>44774</v>
      </c>
      <c r="C331" s="11">
        <v>6691.99</v>
      </c>
      <c r="D331" s="11">
        <v>-2.0134709715206145</v>
      </c>
      <c r="E331" s="11">
        <v>1304.25</v>
      </c>
      <c r="F331" s="11">
        <v>1.9997184596615147</v>
      </c>
      <c r="G331" s="11">
        <v>819.92</v>
      </c>
      <c r="H331" s="11">
        <v>-0.58081022420003459</v>
      </c>
      <c r="I331" s="11">
        <v>7697.43</v>
      </c>
      <c r="J331" s="11">
        <v>-3.5523384463484131</v>
      </c>
      <c r="K331" s="11">
        <v>4913.2</v>
      </c>
      <c r="L331" s="11">
        <v>-2.5137453396800402</v>
      </c>
    </row>
    <row r="332" spans="2:12" s="18" customFormat="1" ht="34.9" hidden="1" customHeight="1">
      <c r="B332" s="14">
        <v>44805</v>
      </c>
      <c r="C332" s="7">
        <v>6569.16</v>
      </c>
      <c r="D332" s="7">
        <v>-1.8354779370560959</v>
      </c>
      <c r="E332" s="7">
        <v>1374.78</v>
      </c>
      <c r="F332" s="7">
        <v>5.4077055779183425</v>
      </c>
      <c r="G332" s="7">
        <v>821.31</v>
      </c>
      <c r="H332" s="7">
        <v>0.16952873451068218</v>
      </c>
      <c r="I332" s="7">
        <v>7269.01</v>
      </c>
      <c r="J332" s="7">
        <v>-5.5657537645681714</v>
      </c>
      <c r="K332" s="7">
        <v>4760.0600000000004</v>
      </c>
      <c r="L332" s="7">
        <v>-3.1169095497842414</v>
      </c>
    </row>
    <row r="333" spans="2:12" s="18" customFormat="1" ht="34.9" hidden="1" customHeight="1">
      <c r="B333" s="15">
        <v>44835</v>
      </c>
      <c r="C333" s="11">
        <v>6530.69</v>
      </c>
      <c r="D333" s="11">
        <v>-0.58561520803268596</v>
      </c>
      <c r="E333" s="11">
        <v>1395.49</v>
      </c>
      <c r="F333" s="11">
        <v>1.506422845837152</v>
      </c>
      <c r="G333" s="11">
        <v>822.1</v>
      </c>
      <c r="H333" s="11">
        <v>9.6187797542968134E-2</v>
      </c>
      <c r="I333" s="11">
        <v>6991.12</v>
      </c>
      <c r="J333" s="11">
        <v>-3.8229415009746859</v>
      </c>
      <c r="K333" s="11">
        <v>4672.1499999999996</v>
      </c>
      <c r="L333" s="11">
        <v>-1.8468254601832879</v>
      </c>
    </row>
    <row r="334" spans="2:12" s="18" customFormat="1" ht="34.9" hidden="1" customHeight="1">
      <c r="B334" s="14">
        <v>44866</v>
      </c>
      <c r="C334" s="7">
        <v>6740.4</v>
      </c>
      <c r="D334" s="7">
        <v>3.2111461422912546</v>
      </c>
      <c r="E334" s="7">
        <v>1365.86</v>
      </c>
      <c r="F334" s="7">
        <v>-2.1232685293337883</v>
      </c>
      <c r="G334" s="7">
        <v>832.32</v>
      </c>
      <c r="H334" s="7">
        <v>1.2431577666950577</v>
      </c>
      <c r="I334" s="7">
        <v>6944.03</v>
      </c>
      <c r="J334" s="7">
        <v>-0.67356875579306363</v>
      </c>
      <c r="K334" s="7">
        <v>4731.43</v>
      </c>
      <c r="L334" s="7">
        <v>1.2687948803013827</v>
      </c>
    </row>
    <row r="335" spans="2:12" s="18" customFormat="1" ht="34.9" hidden="1" customHeight="1">
      <c r="B335" s="15">
        <v>44896</v>
      </c>
      <c r="C335" s="11">
        <v>6753.66</v>
      </c>
      <c r="D335" s="11">
        <v>0.19672423001602102</v>
      </c>
      <c r="E335" s="11">
        <v>1331.66</v>
      </c>
      <c r="F335" s="11">
        <v>-2.5039169460998822</v>
      </c>
      <c r="G335" s="11">
        <v>852.07</v>
      </c>
      <c r="H335" s="11">
        <v>2.3728854286812817</v>
      </c>
      <c r="I335" s="11">
        <v>6882.07</v>
      </c>
      <c r="J335" s="11">
        <v>-0.89227725110634371</v>
      </c>
      <c r="K335" s="11">
        <v>4730.37</v>
      </c>
      <c r="L335" s="11">
        <v>-2.2403374878221527E-2</v>
      </c>
    </row>
    <row r="336" spans="2:12" s="18" customFormat="1" ht="34.9" hidden="1" customHeight="1">
      <c r="B336" s="3">
        <v>2023</v>
      </c>
      <c r="C336" s="96"/>
      <c r="D336" s="96"/>
      <c r="E336" s="93"/>
      <c r="F336" s="93"/>
      <c r="G336" s="93"/>
      <c r="H336" s="93"/>
      <c r="I336" s="93"/>
      <c r="J336" s="93"/>
      <c r="K336" s="93"/>
      <c r="L336" s="93"/>
    </row>
    <row r="337" spans="2:12" s="18" customFormat="1" ht="34.9" hidden="1" customHeight="1">
      <c r="B337" s="14">
        <v>44927</v>
      </c>
      <c r="C337" s="7">
        <v>6879.9</v>
      </c>
      <c r="D337" s="7">
        <v>1.8692086957294185</v>
      </c>
      <c r="E337" s="7">
        <v>1321.57</v>
      </c>
      <c r="F337" s="7">
        <v>-0.75770091464789635</v>
      </c>
      <c r="G337" s="7">
        <v>935.61</v>
      </c>
      <c r="H337" s="7">
        <v>9.8043587968124726</v>
      </c>
      <c r="I337" s="7">
        <v>8021.83</v>
      </c>
      <c r="J337" s="7">
        <v>16.561296237905164</v>
      </c>
      <c r="K337" s="7">
        <v>5140.42</v>
      </c>
      <c r="L337" s="7">
        <v>8.6684551102767848</v>
      </c>
    </row>
    <row r="338" spans="2:12" s="18" customFormat="1" ht="34.9" hidden="1" customHeight="1">
      <c r="B338" s="15">
        <v>44958</v>
      </c>
      <c r="C338" s="11">
        <v>6871.57</v>
      </c>
      <c r="D338" s="11">
        <v>-0.12107734124042757</v>
      </c>
      <c r="E338" s="11">
        <v>1303.18</v>
      </c>
      <c r="F338" s="11">
        <v>-1.3915267447051516</v>
      </c>
      <c r="G338" s="11">
        <v>928.12</v>
      </c>
      <c r="H338" s="11">
        <v>-0.80054723656224347</v>
      </c>
      <c r="I338" s="11">
        <v>8117.5</v>
      </c>
      <c r="J338" s="11">
        <v>1.1926206364383241</v>
      </c>
      <c r="K338" s="11">
        <v>5157.16</v>
      </c>
      <c r="L338" s="11">
        <v>0.32565432396574057</v>
      </c>
    </row>
    <row r="339" spans="2:12" s="18" customFormat="1" ht="34.9" hidden="1" customHeight="1">
      <c r="B339" s="14">
        <v>44986</v>
      </c>
      <c r="C339" s="7">
        <v>6825.4</v>
      </c>
      <c r="D339" s="7">
        <v>-0.67189885280947159</v>
      </c>
      <c r="E339" s="7">
        <v>1325.15</v>
      </c>
      <c r="F339" s="7">
        <v>1.685876087723881</v>
      </c>
      <c r="G339" s="7">
        <v>916.87</v>
      </c>
      <c r="H339" s="7">
        <v>-1.2121277421023091</v>
      </c>
      <c r="I339" s="7">
        <v>7487.16</v>
      </c>
      <c r="J339" s="7">
        <v>-7.7651986449029931</v>
      </c>
      <c r="K339" s="7">
        <v>4963.57</v>
      </c>
      <c r="L339" s="7">
        <v>-3.7538102366418746</v>
      </c>
    </row>
    <row r="340" spans="2:12" s="18" customFormat="1" ht="34.9" hidden="1" customHeight="1">
      <c r="B340" s="15">
        <v>45017</v>
      </c>
      <c r="C340" s="11">
        <v>6521.14</v>
      </c>
      <c r="D340" s="11">
        <v>-4.4577607173205909</v>
      </c>
      <c r="E340" s="11">
        <v>1284.78</v>
      </c>
      <c r="F340" s="11">
        <v>-3.0464475719729878</v>
      </c>
      <c r="G340" s="11">
        <v>854.83</v>
      </c>
      <c r="H340" s="11">
        <v>-6.76649906747957</v>
      </c>
      <c r="I340" s="11">
        <v>6666.91</v>
      </c>
      <c r="J340" s="11">
        <v>-10.955422349729405</v>
      </c>
      <c r="K340" s="11">
        <v>4593.47</v>
      </c>
      <c r="L340" s="11">
        <v>-7.4563267970432445</v>
      </c>
    </row>
    <row r="341" spans="2:12" s="18" customFormat="1" ht="34.9" hidden="1" customHeight="1">
      <c r="B341" s="14">
        <v>45047</v>
      </c>
      <c r="C341" s="7">
        <v>6453.61</v>
      </c>
      <c r="D341" s="7">
        <v>-1.0355551329982227</v>
      </c>
      <c r="E341" s="7">
        <v>1322.83</v>
      </c>
      <c r="F341" s="7">
        <v>2.9615965379286679</v>
      </c>
      <c r="G341" s="7">
        <v>899.17</v>
      </c>
      <c r="H341" s="7">
        <v>5.1869962448673812</v>
      </c>
      <c r="I341" s="7">
        <v>6822.05</v>
      </c>
      <c r="J341" s="7">
        <v>2.3270150639501663</v>
      </c>
      <c r="K341" s="7">
        <v>4645.8500000000004</v>
      </c>
      <c r="L341" s="7">
        <v>1.1403144028370837</v>
      </c>
    </row>
    <row r="342" spans="2:12" s="18" customFormat="1" ht="34.5" hidden="1" customHeight="1">
      <c r="B342" s="15">
        <v>45078</v>
      </c>
      <c r="C342" s="11">
        <v>6356.29</v>
      </c>
      <c r="D342" s="11">
        <v>-1.5079932007047159</v>
      </c>
      <c r="E342" s="11">
        <v>1303.83</v>
      </c>
      <c r="F342" s="11">
        <v>-1.4363145680095002</v>
      </c>
      <c r="G342" s="11">
        <v>889.7</v>
      </c>
      <c r="H342" s="11">
        <v>-1.0531935006728332</v>
      </c>
      <c r="I342" s="11">
        <v>6716.79</v>
      </c>
      <c r="J342" s="11">
        <v>-1.542937973189884</v>
      </c>
      <c r="K342" s="11">
        <v>4577.41</v>
      </c>
      <c r="L342" s="11">
        <v>-1.4731426972459438</v>
      </c>
    </row>
    <row r="343" spans="2:12" s="18" customFormat="1" ht="34.9" hidden="1" customHeight="1">
      <c r="B343" s="14">
        <v>45108</v>
      </c>
      <c r="C343" s="7">
        <v>6435.29</v>
      </c>
      <c r="D343" s="7">
        <v>1.2428633684114399</v>
      </c>
      <c r="E343" s="7">
        <v>1269.51</v>
      </c>
      <c r="F343" s="7">
        <v>-2.6322450012654985</v>
      </c>
      <c r="G343" s="7">
        <v>890.64</v>
      </c>
      <c r="H343" s="7">
        <v>0.10565359109810935</v>
      </c>
      <c r="I343" s="7">
        <v>6415.1</v>
      </c>
      <c r="J343" s="7">
        <v>-4.4915800553538165</v>
      </c>
      <c r="K343" s="7">
        <v>4520.9799999999996</v>
      </c>
      <c r="L343" s="7">
        <v>-1.2327932171249723</v>
      </c>
    </row>
    <row r="344" spans="2:12" s="18" customFormat="1" ht="34.9" hidden="1" customHeight="1">
      <c r="B344" s="15">
        <v>45139</v>
      </c>
      <c r="C344" s="11">
        <v>6382.67</v>
      </c>
      <c r="D344" s="11">
        <v>-0.81767876816739582</v>
      </c>
      <c r="E344" s="11">
        <v>1241.44</v>
      </c>
      <c r="F344" s="11">
        <v>-2.2110893179258073</v>
      </c>
      <c r="G344" s="11">
        <v>884.2</v>
      </c>
      <c r="H344" s="11">
        <v>-0.72307554118385964</v>
      </c>
      <c r="I344" s="11">
        <v>6163.13</v>
      </c>
      <c r="J344" s="11">
        <v>-3.9277641813845521</v>
      </c>
      <c r="K344" s="11">
        <v>4429.18</v>
      </c>
      <c r="L344" s="11">
        <v>-2.030533202978102</v>
      </c>
    </row>
    <row r="345" spans="2:12" s="18" customFormat="1" ht="34.9" hidden="1" customHeight="1">
      <c r="B345" s="14">
        <v>45170</v>
      </c>
      <c r="C345" s="7">
        <v>6412.38</v>
      </c>
      <c r="D345" s="7">
        <v>0.46547918034303137</v>
      </c>
      <c r="E345" s="7">
        <v>1246.74</v>
      </c>
      <c r="F345" s="7">
        <v>0.42692357262532621</v>
      </c>
      <c r="G345" s="7">
        <v>890.03</v>
      </c>
      <c r="H345" s="7">
        <v>0.65935308753675148</v>
      </c>
      <c r="I345" s="7">
        <v>6057.54</v>
      </c>
      <c r="J345" s="7">
        <v>-1.7132528439283257</v>
      </c>
      <c r="K345" s="7">
        <v>4413.58</v>
      </c>
      <c r="L345" s="7">
        <v>-0.3522096640913297</v>
      </c>
    </row>
    <row r="346" spans="2:12" s="18" customFormat="1" ht="34.9" hidden="1" customHeight="1">
      <c r="B346" s="15">
        <v>45200</v>
      </c>
      <c r="C346" s="11">
        <v>6575.72</v>
      </c>
      <c r="D346" s="11">
        <v>2.5472601436596021</v>
      </c>
      <c r="E346" s="11">
        <v>1260.6199999999999</v>
      </c>
      <c r="F346" s="11">
        <v>1.1133034955163046</v>
      </c>
      <c r="G346" s="11">
        <v>871.58</v>
      </c>
      <c r="H346" s="11">
        <v>-2.0729638326797861</v>
      </c>
      <c r="I346" s="11">
        <v>5853.58</v>
      </c>
      <c r="J346" s="11">
        <v>-3.3670433872496131</v>
      </c>
      <c r="K346" s="11">
        <v>4400.01</v>
      </c>
      <c r="L346" s="11">
        <v>-0.30746015706070162</v>
      </c>
    </row>
    <row r="347" spans="2:12" s="18" customFormat="1" ht="34.9" hidden="1" customHeight="1">
      <c r="B347" s="14">
        <v>45231</v>
      </c>
      <c r="C347" s="7">
        <v>6574.94</v>
      </c>
      <c r="D347" s="7">
        <v>-1.1861818933911472E-2</v>
      </c>
      <c r="E347" s="7">
        <v>1282.8399999999999</v>
      </c>
      <c r="F347" s="7">
        <v>1.7626247402072082</v>
      </c>
      <c r="G347" s="7">
        <v>873.97</v>
      </c>
      <c r="H347" s="7">
        <v>0.27421464466830248</v>
      </c>
      <c r="I347" s="7">
        <v>5749.81</v>
      </c>
      <c r="J347" s="7">
        <v>-1.7727612845472307</v>
      </c>
      <c r="K347" s="7">
        <v>4371.8900000000003</v>
      </c>
      <c r="L347" s="7">
        <v>-0.63908945661487193</v>
      </c>
    </row>
    <row r="348" spans="2:12" s="18" customFormat="1" ht="34.9" hidden="1" customHeight="1">
      <c r="B348" s="60">
        <v>45261</v>
      </c>
      <c r="C348" s="62">
        <v>6735.62</v>
      </c>
      <c r="D348" s="62">
        <v>2.4438245824296434</v>
      </c>
      <c r="E348" s="62">
        <v>1284.93</v>
      </c>
      <c r="F348" s="62">
        <v>0.16291977175642014</v>
      </c>
      <c r="G348" s="62">
        <v>878.63</v>
      </c>
      <c r="H348" s="62">
        <v>0.53319908005995398</v>
      </c>
      <c r="I348" s="62">
        <v>5706.68</v>
      </c>
      <c r="J348" s="62">
        <v>-0.75011174282281212</v>
      </c>
      <c r="K348" s="62">
        <v>4416.32</v>
      </c>
      <c r="L348" s="62">
        <v>1.0162652765737246</v>
      </c>
    </row>
    <row r="349" spans="2:12" s="18" customFormat="1" ht="34.9" hidden="1" customHeight="1">
      <c r="B349" s="135">
        <v>2024</v>
      </c>
      <c r="C349" s="136"/>
      <c r="D349" s="136"/>
      <c r="E349" s="137"/>
      <c r="F349" s="137"/>
      <c r="G349" s="137"/>
      <c r="H349" s="137"/>
      <c r="I349" s="137"/>
      <c r="J349" s="137"/>
      <c r="K349" s="137"/>
      <c r="L349" s="137"/>
    </row>
    <row r="350" spans="2:12" s="18" customFormat="1" ht="34.9" hidden="1" customHeight="1">
      <c r="B350" s="14">
        <v>45292</v>
      </c>
      <c r="C350" s="7">
        <v>6800.01</v>
      </c>
      <c r="D350" s="7">
        <v>0.95596248006866202</v>
      </c>
      <c r="E350" s="7">
        <v>1291.8399999999999</v>
      </c>
      <c r="F350" s="7">
        <v>0.53777248566069202</v>
      </c>
      <c r="G350" s="7">
        <v>901.42</v>
      </c>
      <c r="H350" s="7">
        <v>2.5938108191161158</v>
      </c>
      <c r="I350" s="7">
        <v>5882.38</v>
      </c>
      <c r="J350" s="7">
        <v>3.0788479466169472</v>
      </c>
      <c r="K350" s="7">
        <v>4501.26</v>
      </c>
      <c r="L350" s="7">
        <v>1.9233207738569735</v>
      </c>
    </row>
    <row r="351" spans="2:12" s="18" customFormat="1" ht="34.9" hidden="1" customHeight="1">
      <c r="B351" s="15">
        <v>45323</v>
      </c>
      <c r="C351" s="11">
        <v>6676.83</v>
      </c>
      <c r="D351" s="11">
        <f>C351/C350*100-100</f>
        <v>-1.8114679243118843</v>
      </c>
      <c r="E351" s="11">
        <v>1306.0999999999999</v>
      </c>
      <c r="F351" s="11">
        <f t="shared" ref="F351:F356" si="0">E351/E350*100-100</f>
        <v>1.1038518702006286</v>
      </c>
      <c r="G351" s="11">
        <v>896.05</v>
      </c>
      <c r="H351" s="11">
        <f t="shared" ref="H351:H356" si="1">G351/G350*100-100</f>
        <v>-0.59572674225111655</v>
      </c>
      <c r="I351" s="11">
        <v>5969.7</v>
      </c>
      <c r="J351" s="11">
        <f t="shared" ref="J351:J356" si="2">I351/I350*100-100</f>
        <v>1.4844331716074066</v>
      </c>
      <c r="K351" s="11">
        <v>4481.57</v>
      </c>
      <c r="L351" s="11">
        <f t="shared" ref="L351:L356" si="3">K351/K350*100-100</f>
        <v>-0.43743307429477341</v>
      </c>
    </row>
    <row r="352" spans="2:12" s="18" customFormat="1" ht="34.9" hidden="1" customHeight="1">
      <c r="B352" s="14">
        <v>45352</v>
      </c>
      <c r="C352" s="7">
        <v>6565.2</v>
      </c>
      <c r="D352" s="7">
        <f>C352/C351*100-100</f>
        <v>-1.6719011866409659</v>
      </c>
      <c r="E352" s="7">
        <v>1309.17</v>
      </c>
      <c r="F352" s="7">
        <f>E352/E351*100-100</f>
        <v>0.23505091493760233</v>
      </c>
      <c r="G352" s="7">
        <v>896.51</v>
      </c>
      <c r="H352" s="7">
        <f t="shared" si="1"/>
        <v>5.1336420958648432E-2</v>
      </c>
      <c r="I352" s="7">
        <v>5870.96</v>
      </c>
      <c r="J352" s="7">
        <f>I352/I351*100-100</f>
        <v>-1.6540194649647333</v>
      </c>
      <c r="K352" s="7">
        <v>4416.8900000000003</v>
      </c>
      <c r="L352" s="7">
        <f t="shared" si="3"/>
        <v>-1.4432442202174514</v>
      </c>
    </row>
    <row r="353" spans="2:17" s="18" customFormat="1" ht="34.5" hidden="1" customHeight="1">
      <c r="B353" s="15">
        <v>45383</v>
      </c>
      <c r="C353" s="11">
        <v>6431.19</v>
      </c>
      <c r="D353" s="11">
        <f t="shared" ref="D353:D355" si="4">C353/C352*100-100</f>
        <v>-2.0412173277280345</v>
      </c>
      <c r="E353" s="11">
        <v>1325.91</v>
      </c>
      <c r="F353" s="11">
        <f t="shared" si="0"/>
        <v>1.2786727468548662</v>
      </c>
      <c r="G353" s="11">
        <v>865.15</v>
      </c>
      <c r="H353" s="11">
        <f t="shared" si="1"/>
        <v>-3.4980089458009473</v>
      </c>
      <c r="I353" s="11">
        <v>5882.13</v>
      </c>
      <c r="J353" s="11">
        <f t="shared" si="2"/>
        <v>0.1902584926485531</v>
      </c>
      <c r="K353" s="11">
        <v>4356.59</v>
      </c>
      <c r="L353" s="11">
        <f t="shared" si="3"/>
        <v>-1.3652139854060152</v>
      </c>
    </row>
    <row r="354" spans="2:17" s="18" customFormat="1" ht="34.9" hidden="1" customHeight="1">
      <c r="B354" s="14">
        <v>45413</v>
      </c>
      <c r="C354" s="7">
        <v>6488.17</v>
      </c>
      <c r="D354" s="7">
        <f t="shared" si="4"/>
        <v>0.8859946603972304</v>
      </c>
      <c r="E354" s="7">
        <v>1350.87</v>
      </c>
      <c r="F354" s="7">
        <f t="shared" si="0"/>
        <v>1.882480711360472</v>
      </c>
      <c r="G354" s="7">
        <v>882.95</v>
      </c>
      <c r="H354" s="7">
        <f t="shared" si="1"/>
        <v>2.0574466855458553</v>
      </c>
      <c r="I354" s="7">
        <v>5749.51</v>
      </c>
      <c r="J354" s="7">
        <f t="shared" si="2"/>
        <v>-2.2546254503045589</v>
      </c>
      <c r="K354" s="7">
        <v>4348.76</v>
      </c>
      <c r="L354" s="7">
        <f t="shared" si="3"/>
        <v>-0.17972772282909943</v>
      </c>
    </row>
    <row r="355" spans="2:17" s="18" customFormat="1" ht="34.5" hidden="1" customHeight="1">
      <c r="B355" s="15">
        <v>45445</v>
      </c>
      <c r="C355" s="11">
        <v>6371.55</v>
      </c>
      <c r="D355" s="11">
        <f t="shared" si="4"/>
        <v>-1.797425159944936</v>
      </c>
      <c r="E355" s="11">
        <v>1355.01</v>
      </c>
      <c r="F355" s="11">
        <f t="shared" si="0"/>
        <v>0.30646916431633997</v>
      </c>
      <c r="G355" s="11">
        <v>897.85</v>
      </c>
      <c r="H355" s="11">
        <f t="shared" si="1"/>
        <v>1.6875247749023004</v>
      </c>
      <c r="I355" s="11">
        <v>5806.93</v>
      </c>
      <c r="J355" s="11">
        <f t="shared" si="2"/>
        <v>0.99869380173267075</v>
      </c>
      <c r="K355" s="11">
        <v>4334.6499999999996</v>
      </c>
      <c r="L355" s="11">
        <f t="shared" si="3"/>
        <v>-0.32446030592629427</v>
      </c>
    </row>
    <row r="356" spans="2:17" s="18" customFormat="1" ht="34.9" hidden="1" customHeight="1">
      <c r="B356" s="14">
        <v>45474</v>
      </c>
      <c r="C356" s="7">
        <v>6418.74</v>
      </c>
      <c r="D356" s="7">
        <f t="shared" ref="D356:D360" si="5">C356/C355*100-100</f>
        <v>0.74063610895306908</v>
      </c>
      <c r="E356" s="7">
        <v>1358.89</v>
      </c>
      <c r="F356" s="7">
        <f t="shared" si="0"/>
        <v>0.28634475022325034</v>
      </c>
      <c r="G356" s="7">
        <v>891.5</v>
      </c>
      <c r="H356" s="7">
        <f t="shared" si="1"/>
        <v>-0.70724508548198628</v>
      </c>
      <c r="I356" s="7">
        <v>5804.55</v>
      </c>
      <c r="J356" s="7">
        <f t="shared" si="2"/>
        <v>-4.0985512138078661E-2</v>
      </c>
      <c r="K356" s="7">
        <v>4346.17</v>
      </c>
      <c r="L356" s="7">
        <f t="shared" si="3"/>
        <v>0.26576540205091703</v>
      </c>
    </row>
    <row r="357" spans="2:17" s="18" customFormat="1" ht="34.5" hidden="1" customHeight="1">
      <c r="B357" s="15">
        <v>45506</v>
      </c>
      <c r="C357" s="11">
        <v>6440.72</v>
      </c>
      <c r="D357" s="11">
        <f t="shared" si="5"/>
        <v>0.34243480807761273</v>
      </c>
      <c r="E357" s="11">
        <v>1344.68</v>
      </c>
      <c r="F357" s="11">
        <f>E357/E356*100-100</f>
        <v>-1.0457064221533869</v>
      </c>
      <c r="G357" s="11">
        <v>880.01</v>
      </c>
      <c r="H357" s="11">
        <f>G357/G356*100-100</f>
        <v>-1.2888390353337087</v>
      </c>
      <c r="I357" s="11">
        <v>6060.05</v>
      </c>
      <c r="J357" s="11">
        <f>I357/I356*100-100</f>
        <v>4.4017193408619164</v>
      </c>
      <c r="K357" s="11">
        <v>4418.26</v>
      </c>
      <c r="L357" s="11">
        <f>K357/K356*100-100</f>
        <v>1.6587017995154412</v>
      </c>
    </row>
    <row r="358" spans="2:17" s="18" customFormat="1" ht="34.9" hidden="1" customHeight="1">
      <c r="B358" s="14">
        <v>45538</v>
      </c>
      <c r="C358" s="7">
        <v>6350.4</v>
      </c>
      <c r="D358" s="7">
        <f t="shared" si="5"/>
        <v>-1.4023276900719281</v>
      </c>
      <c r="E358" s="7">
        <v>1361.17</v>
      </c>
      <c r="F358" s="7">
        <f>E358/E357*100-100</f>
        <v>1.2263140672873902</v>
      </c>
      <c r="G358" s="7">
        <v>850.04</v>
      </c>
      <c r="H358" s="7">
        <f>G358/G357*100-100</f>
        <v>-3.4056431176918522</v>
      </c>
      <c r="I358" s="7">
        <v>5869.22</v>
      </c>
      <c r="J358" s="7">
        <f>I358/I357*100-100</f>
        <v>-3.148983919274599</v>
      </c>
      <c r="K358" s="7">
        <v>4316.4799999999996</v>
      </c>
      <c r="L358" s="7">
        <f>K358/K357*100-100</f>
        <v>-2.3036217877626228</v>
      </c>
    </row>
    <row r="359" spans="2:17" s="18" customFormat="1" ht="34.5" hidden="1" customHeight="1">
      <c r="B359" s="15">
        <v>45570</v>
      </c>
      <c r="C359" s="11">
        <v>6356.85</v>
      </c>
      <c r="D359" s="11">
        <f t="shared" si="5"/>
        <v>0.10156840513984378</v>
      </c>
      <c r="E359" s="11">
        <v>1377.03</v>
      </c>
      <c r="F359" s="11">
        <f>E359/E358*100-100</f>
        <v>1.16517407818273</v>
      </c>
      <c r="G359" s="11">
        <v>858.52</v>
      </c>
      <c r="H359" s="11">
        <f>G359/G358*100-100</f>
        <v>0.99760011293585649</v>
      </c>
      <c r="I359" s="11">
        <v>6148.15</v>
      </c>
      <c r="J359" s="11">
        <f>I359/I358*100-100</f>
        <v>4.7524202534578563</v>
      </c>
      <c r="K359" s="11">
        <v>4401.3100000000004</v>
      </c>
      <c r="L359" s="11">
        <f>K359/K358*100-100</f>
        <v>1.9652587293350336</v>
      </c>
    </row>
    <row r="360" spans="2:17" s="18" customFormat="1" ht="34.9" hidden="1" customHeight="1">
      <c r="B360" s="14">
        <v>45599</v>
      </c>
      <c r="C360" s="7">
        <v>6369.61</v>
      </c>
      <c r="D360" s="7">
        <f t="shared" si="5"/>
        <v>0.2007283481598563</v>
      </c>
      <c r="E360" s="7">
        <v>1380.79</v>
      </c>
      <c r="F360" s="7">
        <f>E360/E359*100-100</f>
        <v>0.27305142226386181</v>
      </c>
      <c r="G360" s="7">
        <v>856.11</v>
      </c>
      <c r="H360" s="7">
        <f>G360/G359*100-100</f>
        <v>-0.28071565018869649</v>
      </c>
      <c r="I360" s="7">
        <v>6399.55</v>
      </c>
      <c r="J360" s="7">
        <f>I360/I359*100-100</f>
        <v>4.0890349129413011</v>
      </c>
      <c r="K360" s="7">
        <v>4474.09</v>
      </c>
      <c r="L360" s="7">
        <f>K360/K359*100-100</f>
        <v>1.6535985876932102</v>
      </c>
    </row>
    <row r="361" spans="2:17" s="18" customFormat="1" ht="34.5" hidden="1" customHeight="1">
      <c r="B361" s="60">
        <v>45628</v>
      </c>
      <c r="C361" s="62">
        <v>6553.27</v>
      </c>
      <c r="D361" s="62">
        <f>C361/C360*100-100</f>
        <v>2.8833790451848813</v>
      </c>
      <c r="E361" s="62">
        <v>1376.04</v>
      </c>
      <c r="F361" s="62">
        <f>E361/E360*100-100</f>
        <v>-0.34400596759826385</v>
      </c>
      <c r="G361" s="62">
        <v>863.65</v>
      </c>
      <c r="H361" s="62">
        <f>G361/G360*100-100</f>
        <v>0.88072794383900543</v>
      </c>
      <c r="I361" s="62">
        <v>6739.07</v>
      </c>
      <c r="J361" s="62">
        <f>I361/I360*100-100</f>
        <v>5.3053730340414376</v>
      </c>
      <c r="K361" s="62">
        <v>4633.5600000000004</v>
      </c>
      <c r="L361" s="62">
        <f>K361/K360*100-100</f>
        <v>3.5643002264147583</v>
      </c>
      <c r="M361"/>
      <c r="N361"/>
      <c r="O361"/>
      <c r="P361"/>
      <c r="Q361"/>
    </row>
    <row r="362" spans="2:17" s="18" customFormat="1" ht="34.9" customHeight="1">
      <c r="B362" s="135">
        <v>2025</v>
      </c>
      <c r="C362" s="136"/>
      <c r="D362" s="136"/>
      <c r="E362" s="137"/>
      <c r="F362" s="137"/>
      <c r="G362" s="137"/>
      <c r="H362" s="137"/>
      <c r="I362" s="137"/>
      <c r="J362" s="137"/>
      <c r="K362" s="137"/>
      <c r="L362" s="137"/>
      <c r="M362"/>
      <c r="N362"/>
      <c r="O362"/>
      <c r="P362"/>
      <c r="Q362"/>
    </row>
    <row r="363" spans="2:17" s="8" customFormat="1" ht="34.9" hidden="1" customHeight="1">
      <c r="B363" s="14">
        <v>45658</v>
      </c>
      <c r="C363" s="7">
        <v>6946.38</v>
      </c>
      <c r="D363" s="7">
        <f>C363/C361*100-100</f>
        <v>5.9986846261484743</v>
      </c>
      <c r="E363" s="7">
        <v>1380.35</v>
      </c>
      <c r="F363" s="7">
        <f>E363/E361*100-100</f>
        <v>0.31321763902212751</v>
      </c>
      <c r="G363" s="7">
        <v>891.26</v>
      </c>
      <c r="H363" s="7">
        <f>G363/G361*100-100</f>
        <v>3.1968968911017157</v>
      </c>
      <c r="I363" s="7">
        <v>7565.71</v>
      </c>
      <c r="J363" s="7">
        <f>I363/I361*100-100</f>
        <v>12.266380969480963</v>
      </c>
      <c r="K363" s="7">
        <v>5014.6499999999996</v>
      </c>
      <c r="L363" s="7">
        <f>K363/K361*100-100</f>
        <v>8.2245616761194213</v>
      </c>
      <c r="M363"/>
      <c r="N363"/>
      <c r="O363"/>
      <c r="P363"/>
      <c r="Q363"/>
    </row>
    <row r="364" spans="2:17" s="8" customFormat="1" ht="34.9" hidden="1" customHeight="1">
      <c r="B364" s="15">
        <v>45689</v>
      </c>
      <c r="C364" s="11">
        <v>6983.09</v>
      </c>
      <c r="D364" s="11">
        <f>C364/C363*100-100</f>
        <v>0.52847670297336435</v>
      </c>
      <c r="E364" s="11">
        <v>1413.31</v>
      </c>
      <c r="F364" s="11">
        <f>E364/E363*100-100</f>
        <v>2.3878001956025656</v>
      </c>
      <c r="G364" s="11">
        <v>894.37</v>
      </c>
      <c r="H364" s="11">
        <f>G364/G363*100-100</f>
        <v>0.34894419136952592</v>
      </c>
      <c r="I364" s="11">
        <v>7274.2</v>
      </c>
      <c r="J364" s="11">
        <f>I364/I363*100-100</f>
        <v>-3.8530422128260255</v>
      </c>
      <c r="K364" s="11">
        <v>4948.8</v>
      </c>
      <c r="L364" s="11">
        <f>K364/K363*100-100</f>
        <v>-1.3131524632825773</v>
      </c>
      <c r="M364"/>
      <c r="N364"/>
      <c r="O364"/>
      <c r="P364"/>
      <c r="Q364"/>
    </row>
    <row r="365" spans="2:17" s="8" customFormat="1" ht="34.9" hidden="1" customHeight="1">
      <c r="B365" s="14">
        <v>45717</v>
      </c>
      <c r="C365" s="7">
        <v>6979.77</v>
      </c>
      <c r="D365" s="7">
        <f>C365/C364*100-100</f>
        <v>-4.7543422754102949E-2</v>
      </c>
      <c r="E365" s="7">
        <v>1467.4</v>
      </c>
      <c r="F365" s="7">
        <f>E365/E364*100-100</f>
        <v>3.8271858261811076</v>
      </c>
      <c r="G365" s="7">
        <v>892.56</v>
      </c>
      <c r="H365" s="7">
        <f>G365/G364*100-100</f>
        <v>-0.20237709225489198</v>
      </c>
      <c r="I365" s="7">
        <v>7863.9</v>
      </c>
      <c r="J365" s="7">
        <f>I365/I364*100-100</f>
        <v>8.106733386489239</v>
      </c>
      <c r="K365" s="7">
        <v>5112.34</v>
      </c>
      <c r="L365" s="7">
        <f>K365/K364*100-100</f>
        <v>3.304639508567746</v>
      </c>
      <c r="M365"/>
      <c r="N365"/>
      <c r="O365"/>
      <c r="P365"/>
      <c r="Q365"/>
    </row>
    <row r="366" spans="2:17" s="18" customFormat="1" ht="34.9" hidden="1" customHeight="1">
      <c r="B366" s="15">
        <v>45748</v>
      </c>
      <c r="C366" s="11">
        <v>6542.14</v>
      </c>
      <c r="D366" s="11">
        <f t="shared" ref="D366" si="6">C366/C365*100-100</f>
        <v>-6.2699773774780567</v>
      </c>
      <c r="E366" s="11">
        <v>1462.57</v>
      </c>
      <c r="F366" s="11">
        <f t="shared" ref="F366:F367" si="7">E366/E365*100-100</f>
        <v>-0.32915360501569069</v>
      </c>
      <c r="G366" s="11">
        <v>865.16</v>
      </c>
      <c r="H366" s="11">
        <f t="shared" ref="H366:H367" si="8">G366/G365*100-100</f>
        <v>-3.0698216366406683</v>
      </c>
      <c r="I366" s="11">
        <v>7062.71</v>
      </c>
      <c r="J366" s="11">
        <f t="shared" ref="J366:J367" si="9">I366/I365*100-100</f>
        <v>-10.18820178283039</v>
      </c>
      <c r="K366" s="11">
        <v>4726.3900000000003</v>
      </c>
      <c r="L366" s="11">
        <f t="shared" ref="L366:L373" si="10">K366/K365*100-100</f>
        <v>-7.5493805185101053</v>
      </c>
    </row>
    <row r="367" spans="2:17" s="18" customFormat="1" ht="34.9" hidden="1" customHeight="1">
      <c r="B367" s="14">
        <v>45778</v>
      </c>
      <c r="C367" s="7">
        <v>7276.41</v>
      </c>
      <c r="D367" s="7">
        <f t="shared" ref="D367:D373" si="11">C367/C366*100-100</f>
        <v>11.223697444567065</v>
      </c>
      <c r="E367" s="7">
        <v>1582.1</v>
      </c>
      <c r="F367" s="7">
        <f t="shared" si="7"/>
        <v>8.1726002857982962</v>
      </c>
      <c r="G367" s="7">
        <v>898.28</v>
      </c>
      <c r="H367" s="7">
        <f t="shared" si="8"/>
        <v>3.8281936289241258</v>
      </c>
      <c r="I367" s="7">
        <v>7732.35</v>
      </c>
      <c r="J367" s="7">
        <f t="shared" si="9"/>
        <v>9.4813463953638148</v>
      </c>
      <c r="K367" s="7">
        <v>5185.42</v>
      </c>
      <c r="L367" s="7">
        <f t="shared" si="10"/>
        <v>9.7120635410958442</v>
      </c>
    </row>
    <row r="368" spans="2:17" s="18" customFormat="1" ht="34.9" hidden="1" customHeight="1">
      <c r="B368" s="15">
        <v>45810</v>
      </c>
      <c r="C368" s="11">
        <v>7531.28</v>
      </c>
      <c r="D368" s="11">
        <f t="shared" si="11"/>
        <v>3.5026888259457536</v>
      </c>
      <c r="E368" s="11">
        <v>1615.11</v>
      </c>
      <c r="F368" s="11">
        <f t="shared" ref="F368:F373" si="12">E368/E367*100-100</f>
        <v>2.0864673535174774</v>
      </c>
      <c r="G368" s="11">
        <v>920.27</v>
      </c>
      <c r="H368" s="11">
        <f t="shared" ref="H368:H373" si="13">G368/G367*100-100</f>
        <v>2.4480117557999819</v>
      </c>
      <c r="I368" s="11">
        <v>8698.4599999999991</v>
      </c>
      <c r="J368" s="11">
        <f t="shared" ref="J368:J373" si="14">I368/I367*100-100</f>
        <v>12.494390450509869</v>
      </c>
      <c r="K368" s="11">
        <v>5556.37</v>
      </c>
      <c r="L368" s="11">
        <f t="shared" si="10"/>
        <v>7.1537117533391665</v>
      </c>
    </row>
    <row r="369" spans="2:17" s="8" customFormat="1" ht="34.9" hidden="1" customHeight="1">
      <c r="B369" s="14">
        <v>45863</v>
      </c>
      <c r="C369" s="7">
        <v>7809.56</v>
      </c>
      <c r="D369" s="7">
        <f t="shared" si="11"/>
        <v>3.694989430747512</v>
      </c>
      <c r="E369" s="7">
        <v>1681.14</v>
      </c>
      <c r="F369" s="7">
        <f t="shared" si="12"/>
        <v>4.0882664338652006</v>
      </c>
      <c r="G369" s="7">
        <v>942.26</v>
      </c>
      <c r="H369" s="7">
        <f t="shared" si="13"/>
        <v>2.3895161202690502</v>
      </c>
      <c r="I369" s="7">
        <v>9558.9</v>
      </c>
      <c r="J369" s="7">
        <f t="shared" si="14"/>
        <v>9.8918659164955756</v>
      </c>
      <c r="K369" s="7">
        <v>5910.05</v>
      </c>
      <c r="L369" s="7">
        <f t="shared" si="10"/>
        <v>6.3653068460163666</v>
      </c>
      <c r="M369"/>
      <c r="N369"/>
      <c r="O369"/>
      <c r="P369"/>
      <c r="Q369"/>
    </row>
    <row r="370" spans="2:17" s="8" customFormat="1" ht="34.9" hidden="1" customHeight="1">
      <c r="B370" s="15">
        <v>45894</v>
      </c>
      <c r="C370" s="11">
        <v>7888.29</v>
      </c>
      <c r="D370" s="11">
        <f t="shared" si="11"/>
        <v>1.0081233769892322</v>
      </c>
      <c r="E370" s="11">
        <v>1684.69</v>
      </c>
      <c r="F370" s="11">
        <f t="shared" si="12"/>
        <v>0.2111662324375061</v>
      </c>
      <c r="G370" s="11">
        <v>949.15</v>
      </c>
      <c r="H370" s="11">
        <f t="shared" si="13"/>
        <v>0.73122068218962966</v>
      </c>
      <c r="I370" s="11">
        <v>9795.5</v>
      </c>
      <c r="J370" s="11">
        <f t="shared" si="14"/>
        <v>2.4751801985584194</v>
      </c>
      <c r="K370" s="11">
        <v>6006.32</v>
      </c>
      <c r="L370" s="11">
        <f t="shared" si="10"/>
        <v>1.6289202291012543</v>
      </c>
      <c r="M370"/>
      <c r="N370"/>
      <c r="O370"/>
      <c r="P370"/>
      <c r="Q370"/>
    </row>
    <row r="371" spans="2:17" s="8" customFormat="1" ht="34.9" customHeight="1">
      <c r="B371" s="14">
        <v>45925</v>
      </c>
      <c r="C371" s="7">
        <v>7882.89</v>
      </c>
      <c r="D371" s="7">
        <f t="shared" si="11"/>
        <v>-6.8455901088825044E-2</v>
      </c>
      <c r="E371" s="7">
        <v>1696.15</v>
      </c>
      <c r="F371" s="7">
        <f t="shared" si="12"/>
        <v>0.68024384308091612</v>
      </c>
      <c r="G371" s="7">
        <v>972.77</v>
      </c>
      <c r="H371" s="7">
        <f t="shared" si="13"/>
        <v>2.4885423800242279</v>
      </c>
      <c r="I371" s="7">
        <v>10152.93</v>
      </c>
      <c r="J371" s="7">
        <f t="shared" si="14"/>
        <v>3.6489204226430445</v>
      </c>
      <c r="K371" s="7">
        <v>6117.43</v>
      </c>
      <c r="L371" s="7">
        <f t="shared" si="10"/>
        <v>1.8498847880232745</v>
      </c>
      <c r="M371"/>
      <c r="N371"/>
      <c r="O371"/>
      <c r="P371"/>
      <c r="Q371"/>
    </row>
    <row r="372" spans="2:17" s="8" customFormat="1" ht="34.9" customHeight="1">
      <c r="B372" s="15">
        <v>45955</v>
      </c>
      <c r="C372" s="11">
        <v>8878.83</v>
      </c>
      <c r="D372" s="11">
        <f t="shared" si="11"/>
        <v>12.634198878837594</v>
      </c>
      <c r="E372" s="11">
        <v>1730.92</v>
      </c>
      <c r="F372" s="11">
        <f t="shared" si="12"/>
        <v>2.0499366211714829</v>
      </c>
      <c r="G372" s="11">
        <v>1016.78</v>
      </c>
      <c r="H372" s="11">
        <f t="shared" si="13"/>
        <v>4.5241937970948953</v>
      </c>
      <c r="I372" s="11">
        <v>10707.96</v>
      </c>
      <c r="J372" s="11">
        <f t="shared" si="14"/>
        <v>5.4666977906870073</v>
      </c>
      <c r="K372" s="11">
        <v>6630.67</v>
      </c>
      <c r="L372" s="11">
        <f t="shared" si="10"/>
        <v>8.3897976764752542</v>
      </c>
      <c r="M372"/>
      <c r="N372"/>
      <c r="O372"/>
      <c r="P372"/>
      <c r="Q372"/>
    </row>
    <row r="373" spans="2:17" s="8" customFormat="1" ht="34.9" customHeight="1">
      <c r="B373" s="14">
        <v>45986</v>
      </c>
      <c r="C373" s="7">
        <v>9240.2099999999991</v>
      </c>
      <c r="D373" s="7">
        <f t="shared" si="11"/>
        <v>4.0701308618365175</v>
      </c>
      <c r="E373" s="7">
        <v>1759.49</v>
      </c>
      <c r="F373" s="7">
        <f t="shared" si="12"/>
        <v>1.6505673283571838</v>
      </c>
      <c r="G373" s="7">
        <v>1031</v>
      </c>
      <c r="H373" s="7">
        <f t="shared" si="13"/>
        <v>1.3985326225928816</v>
      </c>
      <c r="I373" s="7">
        <v>11025.98</v>
      </c>
      <c r="J373" s="7">
        <f t="shared" si="14"/>
        <v>2.9699401193131081</v>
      </c>
      <c r="K373" s="7">
        <v>6847.09</v>
      </c>
      <c r="L373" s="7">
        <f t="shared" si="10"/>
        <v>3.2639235552365022</v>
      </c>
      <c r="M373"/>
      <c r="N373"/>
      <c r="O373"/>
      <c r="P373"/>
      <c r="Q373"/>
    </row>
    <row r="374" spans="2:17" s="8" customFormat="1" ht="34.9" customHeight="1">
      <c r="B374" s="60">
        <v>46016</v>
      </c>
      <c r="C374" s="62">
        <v>9443.64</v>
      </c>
      <c r="D374" s="62">
        <f>C374/C373*100-100</f>
        <v>2.2015733408656359</v>
      </c>
      <c r="E374" s="62">
        <v>1783.24</v>
      </c>
      <c r="F374" s="62">
        <f>E374/E373*100-100</f>
        <v>1.3498229600622977</v>
      </c>
      <c r="G374" s="62">
        <v>1087.75</v>
      </c>
      <c r="H374" s="62">
        <f>G374/G373*100-100</f>
        <v>5.5043646944713913</v>
      </c>
      <c r="I374" s="62">
        <v>11403.03</v>
      </c>
      <c r="J374" s="62">
        <f>I374/I373*100-100</f>
        <v>3.4196506795767903</v>
      </c>
      <c r="K374" s="62">
        <v>7056.03</v>
      </c>
      <c r="L374" s="62">
        <f>K374/K373*100-100</f>
        <v>3.0515153152653056</v>
      </c>
      <c r="M374"/>
      <c r="N374"/>
      <c r="O374"/>
      <c r="P374"/>
      <c r="Q374"/>
    </row>
    <row r="375" spans="2:17" s="18" customFormat="1" ht="34.9" customHeight="1">
      <c r="B375" s="135">
        <v>2026</v>
      </c>
      <c r="C375" s="136"/>
      <c r="D375" s="136"/>
      <c r="E375" s="137"/>
      <c r="F375" s="137"/>
      <c r="G375" s="137"/>
      <c r="H375" s="137"/>
      <c r="I375" s="137"/>
      <c r="J375" s="137"/>
      <c r="K375" s="137"/>
      <c r="L375" s="137"/>
      <c r="M375"/>
      <c r="N375"/>
      <c r="O375"/>
      <c r="P375"/>
      <c r="Q375"/>
    </row>
    <row r="376" spans="2:17" s="8" customFormat="1" ht="34.9" customHeight="1">
      <c r="B376" s="14">
        <v>46023</v>
      </c>
      <c r="C376" s="7">
        <v>9285.73</v>
      </c>
      <c r="D376" s="7">
        <f>C376/C374*100-100</f>
        <v>-1.672130661482214</v>
      </c>
      <c r="E376" s="7">
        <v>1793.68</v>
      </c>
      <c r="F376" s="7">
        <f>E376/E374*100-100</f>
        <v>0.58545120118435534</v>
      </c>
      <c r="G376" s="7">
        <v>1075.83</v>
      </c>
      <c r="H376" s="7">
        <f>G376/G374*100-100</f>
        <v>-1.0958400367731684</v>
      </c>
      <c r="I376" s="7">
        <v>11354.28</v>
      </c>
      <c r="J376" s="7">
        <f>I376/I374*100-100</f>
        <v>-0.42751794917667496</v>
      </c>
      <c r="K376" s="7">
        <v>6983.61</v>
      </c>
      <c r="L376" s="7">
        <f>K376/K374*100-100</f>
        <v>-1.0263561804584214</v>
      </c>
      <c r="M376"/>
      <c r="N376"/>
      <c r="O376"/>
      <c r="P376"/>
      <c r="Q376"/>
    </row>
    <row r="377" spans="2:17" s="8" customFormat="1" ht="34.9" customHeight="1">
      <c r="B377" s="15">
        <v>46054</v>
      </c>
      <c r="C377" s="11">
        <v>9222.06</v>
      </c>
      <c r="D377" s="11">
        <f>C377/C376*100-100</f>
        <v>-0.6856757627025587</v>
      </c>
      <c r="E377" s="11">
        <v>1780.24</v>
      </c>
      <c r="F377" s="11">
        <f>E377/E376*100-100</f>
        <v>-0.74929753356228446</v>
      </c>
      <c r="G377" s="11">
        <v>1100.73</v>
      </c>
      <c r="H377" s="11">
        <f>G377/G376*100-100</f>
        <v>2.3144920665904465</v>
      </c>
      <c r="I377" s="11">
        <v>12214.14</v>
      </c>
      <c r="J377" s="11">
        <f>I377/I376*100-100</f>
        <v>7.5730033080036492</v>
      </c>
      <c r="K377" s="11">
        <v>7218.45</v>
      </c>
      <c r="L377" s="11">
        <f>K377/K376*100-100</f>
        <v>3.3627307366820247</v>
      </c>
      <c r="M377"/>
      <c r="N377"/>
      <c r="O377"/>
      <c r="P377"/>
      <c r="Q377"/>
    </row>
    <row r="378" spans="2:17" s="8" customFormat="1" ht="34.9" customHeight="1">
      <c r="B378" s="14">
        <v>46082</v>
      </c>
      <c r="C378" s="7">
        <v>8991.5499999999993</v>
      </c>
      <c r="D378" s="7">
        <f>C378/C377*100-100</f>
        <v>-2.4995499920841979</v>
      </c>
      <c r="E378" s="7">
        <v>1834.08</v>
      </c>
      <c r="F378" s="7">
        <f>E378/E377*100-100</f>
        <v>3.0243113288096026</v>
      </c>
      <c r="G378" s="7">
        <v>1110.32</v>
      </c>
      <c r="H378" s="7">
        <f>G378/G377*100-100</f>
        <v>0.87123999527585738</v>
      </c>
      <c r="I378" s="7">
        <v>13227.34</v>
      </c>
      <c r="J378" s="7">
        <f>I378/I377*100-100</f>
        <v>8.2953036398796911</v>
      </c>
      <c r="K378" s="7">
        <v>7433.84</v>
      </c>
      <c r="L378" s="7">
        <f>K378/K377*100-100</f>
        <v>2.9838815812258872</v>
      </c>
      <c r="M378"/>
      <c r="N378"/>
      <c r="O378"/>
      <c r="P378"/>
      <c r="Q378"/>
    </row>
    <row r="379" spans="2:17" s="8" customFormat="1" ht="34.9" customHeight="1">
      <c r="B379" s="15">
        <v>46113</v>
      </c>
      <c r="C379" s="11">
        <v>9561.89</v>
      </c>
      <c r="D379" s="11">
        <f t="shared" ref="D379:D381" si="15">C379/C378*100-100</f>
        <v>6.3430665458124764</v>
      </c>
      <c r="E379" s="11">
        <v>1906.46</v>
      </c>
      <c r="F379" s="11">
        <f t="shared" ref="F379:F381" si="16">E379/E378*100-100</f>
        <v>3.9463927418651394</v>
      </c>
      <c r="G379" s="11">
        <v>1219.08</v>
      </c>
      <c r="H379" s="11">
        <f t="shared" ref="H379:H381" si="17">G379/G378*100-100</f>
        <v>9.7953743065062326</v>
      </c>
      <c r="I379" s="11">
        <v>13733.14</v>
      </c>
      <c r="J379" s="11">
        <f t="shared" ref="J379:J381" si="18">I379/I378*100-100</f>
        <v>3.8238980777692149</v>
      </c>
      <c r="K379" s="11">
        <v>7837.67</v>
      </c>
      <c r="L379" s="11">
        <f t="shared" ref="L379:L381" si="19">K379/K378*100-100</f>
        <v>5.4323203082121694</v>
      </c>
      <c r="M379"/>
      <c r="N379"/>
      <c r="O379"/>
      <c r="P379"/>
      <c r="Q379"/>
    </row>
    <row r="380" spans="2:17" s="8" customFormat="1" ht="34.9" customHeight="1">
      <c r="B380" s="14">
        <v>46143</v>
      </c>
      <c r="C380" s="7">
        <v>10236.83</v>
      </c>
      <c r="D380" s="7">
        <f t="shared" si="15"/>
        <v>7.0586463554799508</v>
      </c>
      <c r="E380" s="7">
        <v>1952.51</v>
      </c>
      <c r="F380" s="7">
        <f t="shared" si="16"/>
        <v>2.415471607062301</v>
      </c>
      <c r="G380" s="7">
        <v>1173.1099999999999</v>
      </c>
      <c r="H380" s="7">
        <f t="shared" si="17"/>
        <v>-3.770876398595675</v>
      </c>
      <c r="I380" s="7">
        <v>14414.43</v>
      </c>
      <c r="J380" s="7">
        <f t="shared" si="18"/>
        <v>4.9609193527481779</v>
      </c>
      <c r="K380" s="7">
        <v>8223.84</v>
      </c>
      <c r="L380" s="7">
        <f t="shared" si="19"/>
        <v>4.9271020596682433</v>
      </c>
      <c r="M380"/>
      <c r="N380"/>
      <c r="O380"/>
      <c r="P380"/>
      <c r="Q380"/>
    </row>
    <row r="381" spans="2:17" s="8" customFormat="1" ht="34.9" customHeight="1">
      <c r="B381" s="15">
        <v>46175</v>
      </c>
      <c r="C381" s="11">
        <v>9780.58</v>
      </c>
      <c r="D381" s="11">
        <f t="shared" si="15"/>
        <v>-4.4569461444607441</v>
      </c>
      <c r="E381" s="11">
        <v>1976.33</v>
      </c>
      <c r="F381" s="11">
        <f t="shared" si="16"/>
        <v>1.2199681435690337</v>
      </c>
      <c r="G381" s="11">
        <v>1136.54</v>
      </c>
      <c r="H381" s="11">
        <f t="shared" si="17"/>
        <v>-3.1173547237684431</v>
      </c>
      <c r="I381" s="11">
        <v>12508.62</v>
      </c>
      <c r="J381" s="11">
        <f t="shared" si="18"/>
        <v>-13.221542579207082</v>
      </c>
      <c r="K381" s="11">
        <v>7517.19</v>
      </c>
      <c r="L381" s="11">
        <f t="shared" si="19"/>
        <v>-8.5927012198680899</v>
      </c>
      <c r="M381"/>
      <c r="N381"/>
      <c r="O381"/>
      <c r="P381"/>
      <c r="Q381"/>
    </row>
    <row r="382" spans="2:17" s="8" customFormat="1" ht="34.9" customHeight="1">
      <c r="B382" s="14">
        <v>46229</v>
      </c>
      <c r="C382" s="7">
        <v>10355.16</v>
      </c>
      <c r="D382" s="7">
        <f t="shared" ref="D382" si="20">C382/C381*100-100</f>
        <v>5.8747027272411287</v>
      </c>
      <c r="E382" s="7">
        <v>2019.75</v>
      </c>
      <c r="F382" s="7">
        <f t="shared" ref="F382" si="21">E382/E381*100-100</f>
        <v>2.1970015129052314</v>
      </c>
      <c r="G382" s="7">
        <v>1219.75</v>
      </c>
      <c r="H382" s="7">
        <f t="shared" ref="H382" si="22">G382/G381*100-100</f>
        <v>7.3213437274534954</v>
      </c>
      <c r="I382" s="7">
        <v>12311.8</v>
      </c>
      <c r="J382" s="7">
        <f t="shared" ref="J382" si="23">I382/I381*100-100</f>
        <v>-1.5734749316871302</v>
      </c>
      <c r="K382" s="7">
        <v>7705</v>
      </c>
      <c r="L382" s="7">
        <f t="shared" ref="F382:L384" si="24">K382/K381*100-100</f>
        <v>2.49840698452482</v>
      </c>
      <c r="M382"/>
      <c r="N382"/>
      <c r="O382"/>
      <c r="P382"/>
      <c r="Q382"/>
    </row>
    <row r="383" spans="2:17" s="8" customFormat="1" ht="34.5" customHeight="1">
      <c r="B383" s="15">
        <v>46252</v>
      </c>
      <c r="C383" s="11">
        <v>9934.66</v>
      </c>
      <c r="D383" s="11">
        <f>C383/C382*100-100</f>
        <v>-4.0607774288374117</v>
      </c>
      <c r="E383" s="11">
        <v>2138</v>
      </c>
      <c r="F383" s="11">
        <f t="shared" si="24"/>
        <v>5.8546849857655587</v>
      </c>
      <c r="G383" s="11">
        <v>1261.29</v>
      </c>
      <c r="H383" s="11">
        <f t="shared" si="24"/>
        <v>3.4056159048985393</v>
      </c>
      <c r="I383" s="11">
        <v>13243.13</v>
      </c>
      <c r="J383" s="11">
        <f t="shared" si="24"/>
        <v>7.5645315875826356</v>
      </c>
      <c r="K383" s="11">
        <v>7852.94</v>
      </c>
      <c r="L383" s="11">
        <f t="shared" si="24"/>
        <v>1.9200519143413288</v>
      </c>
      <c r="M383"/>
      <c r="N383"/>
      <c r="O383"/>
      <c r="P383"/>
      <c r="Q383"/>
    </row>
    <row r="384" spans="2:17" s="8" customFormat="1" ht="34.5" customHeight="1">
      <c r="B384" s="155">
        <v>46266</v>
      </c>
      <c r="C384" s="157">
        <v>10270.36</v>
      </c>
      <c r="D384" s="157">
        <f>C384/C383*100-100</f>
        <v>3.3790789015426981</v>
      </c>
      <c r="E384" s="157">
        <v>2216.83</v>
      </c>
      <c r="F384" s="157">
        <f t="shared" si="24"/>
        <v>3.6870907390084113</v>
      </c>
      <c r="G384" s="157">
        <v>1315.87</v>
      </c>
      <c r="H384" s="157">
        <f t="shared" si="24"/>
        <v>4.3273156847354528</v>
      </c>
      <c r="I384" s="157">
        <v>13724.8</v>
      </c>
      <c r="J384" s="157">
        <f t="shared" si="24"/>
        <v>3.6371311011822627</v>
      </c>
      <c r="K384" s="157">
        <v>8134.66</v>
      </c>
      <c r="L384" s="157">
        <f t="shared" si="24"/>
        <v>3.5874462303290215</v>
      </c>
      <c r="M384"/>
      <c r="N384"/>
      <c r="O384"/>
      <c r="P384"/>
      <c r="Q384"/>
    </row>
    <row r="385" spans="2:17" s="18" customFormat="1" ht="9.75" customHeight="1">
      <c r="B385" s="71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/>
      <c r="N385"/>
      <c r="O385"/>
      <c r="P385"/>
      <c r="Q385"/>
    </row>
    <row r="386" spans="2:17" s="78" customFormat="1" ht="30" customHeight="1">
      <c r="B386" s="78" t="s">
        <v>67</v>
      </c>
      <c r="L386" s="78" t="s">
        <v>93</v>
      </c>
      <c r="M386"/>
      <c r="N386"/>
      <c r="O386"/>
      <c r="P386"/>
      <c r="Q386"/>
    </row>
    <row r="387" spans="2:17" s="82" customFormat="1" ht="40.5" customHeight="1">
      <c r="B387" s="165" t="s">
        <v>148</v>
      </c>
      <c r="C387" s="165"/>
      <c r="D387" s="165"/>
      <c r="E387" s="165"/>
      <c r="F387" s="165"/>
      <c r="G387" s="178" t="s">
        <v>152</v>
      </c>
      <c r="H387" s="178"/>
      <c r="I387" s="178"/>
      <c r="J387" s="178"/>
      <c r="K387" s="178"/>
      <c r="L387" s="178"/>
    </row>
  </sheetData>
  <mergeCells count="21">
    <mergeCell ref="D4:J4"/>
    <mergeCell ref="D5:J5"/>
    <mergeCell ref="K4:L4"/>
    <mergeCell ref="B387:F387"/>
    <mergeCell ref="G387:L387"/>
    <mergeCell ref="N3:P3"/>
    <mergeCell ref="C8:D8"/>
    <mergeCell ref="E8:F8"/>
    <mergeCell ref="G8:H8"/>
    <mergeCell ref="I8:J8"/>
    <mergeCell ref="K8:L8"/>
    <mergeCell ref="I7:J7"/>
    <mergeCell ref="G7:H7"/>
    <mergeCell ref="E7:F7"/>
    <mergeCell ref="C7:D7"/>
    <mergeCell ref="K7:L7"/>
    <mergeCell ref="B3:C3"/>
    <mergeCell ref="D3:J3"/>
    <mergeCell ref="K5:L5"/>
    <mergeCell ref="K3:L3"/>
    <mergeCell ref="B7:B1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76"/>
  <sheetViews>
    <sheetView rightToLeft="1" topLeftCell="A19" zoomScale="40" zoomScaleNormal="40" workbookViewId="0">
      <selection activeCell="E2" sqref="E2:M2"/>
    </sheetView>
  </sheetViews>
  <sheetFormatPr defaultColWidth="9.140625" defaultRowHeight="15.75"/>
  <cols>
    <col min="1" max="1" width="10.7109375" customWidth="1"/>
    <col min="2" max="2" width="25.7109375" style="1" customWidth="1"/>
    <col min="3" max="16" width="30.7109375" style="1" customWidth="1"/>
    <col min="17" max="17" width="13.7109375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2:16" s="82" customFormat="1" ht="40.15" customHeight="1">
      <c r="B2" s="218" t="s">
        <v>130</v>
      </c>
      <c r="C2" s="218"/>
      <c r="D2" s="218"/>
      <c r="E2" s="168" t="s">
        <v>104</v>
      </c>
      <c r="F2" s="168"/>
      <c r="G2" s="168"/>
      <c r="H2" s="168"/>
      <c r="I2" s="168"/>
      <c r="J2" s="168"/>
      <c r="K2" s="168"/>
      <c r="L2" s="168"/>
      <c r="M2" s="168"/>
      <c r="N2" s="112"/>
      <c r="O2" s="216" t="s">
        <v>106</v>
      </c>
      <c r="P2" s="216"/>
    </row>
    <row r="3" spans="2:16" s="82" customFormat="1" ht="40.15" customHeight="1">
      <c r="B3" s="217"/>
      <c r="C3" s="169" t="s">
        <v>143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14" t="s">
        <v>139</v>
      </c>
    </row>
    <row r="4" spans="2:16" s="82" customFormat="1" ht="40.15" customHeight="1">
      <c r="B4" s="217"/>
      <c r="C4" s="215" t="s">
        <v>145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113" t="s">
        <v>140</v>
      </c>
    </row>
    <row r="5" spans="2:16" s="82" customFormat="1" ht="10.15" customHeight="1">
      <c r="B5" s="68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3"/>
    </row>
    <row r="6" spans="2:16" ht="129.94999999999999" customHeight="1">
      <c r="B6" s="46"/>
      <c r="C6" s="211" t="s">
        <v>85</v>
      </c>
      <c r="D6" s="212"/>
      <c r="E6" s="212"/>
      <c r="F6" s="212"/>
      <c r="G6" s="213"/>
      <c r="H6" s="211" t="s">
        <v>86</v>
      </c>
      <c r="I6" s="212"/>
      <c r="J6" s="212"/>
      <c r="K6" s="212"/>
      <c r="L6" s="212"/>
      <c r="M6" s="212"/>
      <c r="N6" s="212"/>
      <c r="O6" s="212"/>
      <c r="P6" s="214"/>
    </row>
    <row r="7" spans="2:16" ht="129.94999999999999" customHeight="1">
      <c r="B7" s="30"/>
      <c r="C7" s="145"/>
      <c r="D7" s="144" t="s">
        <v>26</v>
      </c>
      <c r="E7" s="109" t="s">
        <v>25</v>
      </c>
      <c r="F7" s="109" t="s">
        <v>24</v>
      </c>
      <c r="G7" s="146" t="s">
        <v>23</v>
      </c>
      <c r="H7" s="145"/>
      <c r="I7" s="144" t="s">
        <v>21</v>
      </c>
      <c r="J7" s="109" t="s">
        <v>20</v>
      </c>
      <c r="K7" s="109" t="s">
        <v>19</v>
      </c>
      <c r="L7" s="109" t="s">
        <v>18</v>
      </c>
      <c r="M7" s="109" t="s">
        <v>17</v>
      </c>
      <c r="N7" s="109" t="s">
        <v>16</v>
      </c>
      <c r="O7" s="109" t="s">
        <v>15</v>
      </c>
      <c r="P7" s="110" t="s">
        <v>14</v>
      </c>
    </row>
    <row r="8" spans="2:16" ht="50.1" customHeight="1">
      <c r="B8" s="31"/>
      <c r="C8" s="28"/>
      <c r="D8" s="28"/>
      <c r="E8" s="28"/>
      <c r="F8" s="28"/>
      <c r="G8" s="28"/>
      <c r="H8" s="143"/>
      <c r="I8" s="28"/>
      <c r="J8" s="28"/>
      <c r="K8" s="28"/>
      <c r="L8" s="28"/>
      <c r="M8" s="28"/>
      <c r="N8" s="28"/>
      <c r="O8" s="28"/>
      <c r="P8" s="47"/>
    </row>
    <row r="9" spans="2:16" ht="129.94999999999999" customHeight="1">
      <c r="B9" s="33"/>
      <c r="C9" s="80"/>
      <c r="D9" s="80" t="s">
        <v>12</v>
      </c>
      <c r="E9" s="80" t="s">
        <v>11</v>
      </c>
      <c r="F9" s="80" t="s">
        <v>10</v>
      </c>
      <c r="G9" s="80" t="s">
        <v>9</v>
      </c>
      <c r="H9" s="80"/>
      <c r="I9" s="80" t="s">
        <v>7</v>
      </c>
      <c r="J9" s="80" t="s">
        <v>6</v>
      </c>
      <c r="K9" s="80" t="s">
        <v>68</v>
      </c>
      <c r="L9" s="80" t="s">
        <v>4</v>
      </c>
      <c r="M9" s="80" t="s">
        <v>108</v>
      </c>
      <c r="N9" s="80" t="s">
        <v>3</v>
      </c>
      <c r="O9" s="80" t="s">
        <v>2</v>
      </c>
      <c r="P9" s="81" t="s">
        <v>1</v>
      </c>
    </row>
    <row r="10" spans="2:16" ht="53.45" customHeight="1">
      <c r="B10" s="26" t="s">
        <v>79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2:16" s="111" customFormat="1" ht="75" customHeight="1">
      <c r="B11" s="16">
        <v>2008</v>
      </c>
      <c r="C11" s="17">
        <v>7.9268791929221383</v>
      </c>
      <c r="D11" s="147">
        <v>10.890968054013323</v>
      </c>
      <c r="E11" s="147">
        <v>2.2000000000000002</v>
      </c>
      <c r="F11" s="147">
        <v>-3.4672310962602482</v>
      </c>
      <c r="G11" s="147">
        <v>1.7271410462661574</v>
      </c>
      <c r="H11" s="17">
        <v>8.6221151831572485</v>
      </c>
      <c r="I11" s="147">
        <v>-0.91396496898591451</v>
      </c>
      <c r="J11" s="147">
        <v>10.488281968667215</v>
      </c>
      <c r="K11" s="147">
        <v>5.9023170743718234</v>
      </c>
      <c r="L11" s="147">
        <v>-5.4844864519518914</v>
      </c>
      <c r="M11" s="147">
        <v>22.394979474571137</v>
      </c>
      <c r="N11" s="147">
        <v>20.749538376090651</v>
      </c>
      <c r="O11" s="147">
        <v>6.9221508477210492</v>
      </c>
      <c r="P11" s="147">
        <v>5.2488642536994119</v>
      </c>
    </row>
    <row r="12" spans="2:16" s="111" customFormat="1" ht="75" customHeight="1">
      <c r="B12" s="116">
        <v>2009</v>
      </c>
      <c r="C12" s="117">
        <v>3.1827036864628186</v>
      </c>
      <c r="D12" s="148">
        <v>7.4665150543895136</v>
      </c>
      <c r="E12" s="148">
        <v>-0.6</v>
      </c>
      <c r="F12" s="148">
        <v>-13.254359590357279</v>
      </c>
      <c r="G12" s="148">
        <v>-9.9866792990344262</v>
      </c>
      <c r="H12" s="117">
        <v>8.803037158840235</v>
      </c>
      <c r="I12" s="148">
        <v>-3.2746596041950746</v>
      </c>
      <c r="J12" s="148">
        <v>11.913772847104804</v>
      </c>
      <c r="K12" s="148">
        <v>3.820287477434082</v>
      </c>
      <c r="L12" s="148">
        <v>13.440597832688097</v>
      </c>
      <c r="M12" s="148">
        <v>19.282038218715009</v>
      </c>
      <c r="N12" s="148">
        <v>10.701549868534732</v>
      </c>
      <c r="O12" s="148">
        <v>9.2058888289864917</v>
      </c>
      <c r="P12" s="148">
        <v>0.22338775619058432</v>
      </c>
    </row>
    <row r="13" spans="2:16" s="111" customFormat="1" ht="75" customHeight="1">
      <c r="B13" s="16">
        <v>2010</v>
      </c>
      <c r="C13" s="17">
        <v>3.5</v>
      </c>
      <c r="D13" s="147">
        <v>6.6308090992532733</v>
      </c>
      <c r="E13" s="147">
        <v>2.7</v>
      </c>
      <c r="F13" s="147">
        <v>-16.3</v>
      </c>
      <c r="G13" s="147">
        <v>-2.9</v>
      </c>
      <c r="H13" s="17">
        <v>8.6</v>
      </c>
      <c r="I13" s="147">
        <v>2.6762462655315162</v>
      </c>
      <c r="J13" s="147">
        <v>17.103778285308898</v>
      </c>
      <c r="K13" s="147">
        <v>2.7759417264043109</v>
      </c>
      <c r="L13" s="147">
        <v>5.0084708701244027</v>
      </c>
      <c r="M13" s="147">
        <v>21.994006063564257</v>
      </c>
      <c r="N13" s="147">
        <v>10.597036861883481</v>
      </c>
      <c r="O13" s="147">
        <v>9.6</v>
      </c>
      <c r="P13" s="147">
        <v>0.5</v>
      </c>
    </row>
    <row r="14" spans="2:16" s="111" customFormat="1" ht="75" customHeight="1">
      <c r="B14" s="116">
        <v>2011</v>
      </c>
      <c r="C14" s="117">
        <v>4.3</v>
      </c>
      <c r="D14" s="148">
        <v>8.0047939242367434</v>
      </c>
      <c r="E14" s="148">
        <v>-1.9</v>
      </c>
      <c r="F14" s="148">
        <v>-4.9000000000000004</v>
      </c>
      <c r="G14" s="148">
        <v>-17.899999999999999</v>
      </c>
      <c r="H14" s="117">
        <v>5.7</v>
      </c>
      <c r="I14" s="148">
        <v>1.8</v>
      </c>
      <c r="J14" s="148">
        <v>17.256038505205499</v>
      </c>
      <c r="K14" s="148">
        <v>0.33089977583083691</v>
      </c>
      <c r="L14" s="148">
        <v>-32.6</v>
      </c>
      <c r="M14" s="148">
        <v>21.1</v>
      </c>
      <c r="N14" s="148">
        <v>-2.7933175239941384</v>
      </c>
      <c r="O14" s="148">
        <v>16.8</v>
      </c>
      <c r="P14" s="148">
        <v>4.5999999999999996</v>
      </c>
    </row>
    <row r="15" spans="2:16" s="111" customFormat="1" ht="75" customHeight="1">
      <c r="B15" s="132">
        <v>2012</v>
      </c>
      <c r="C15" s="117">
        <v>6.5</v>
      </c>
      <c r="D15" s="148">
        <v>8.3161303726820268</v>
      </c>
      <c r="E15" s="148">
        <v>1.8</v>
      </c>
      <c r="F15" s="148">
        <v>-1.8</v>
      </c>
      <c r="G15" s="148">
        <v>-2.4</v>
      </c>
      <c r="H15" s="117">
        <v>9.6</v>
      </c>
      <c r="I15" s="148">
        <v>8.5</v>
      </c>
      <c r="J15" s="148">
        <v>18.100000000000001</v>
      </c>
      <c r="K15" s="148">
        <v>-0.1</v>
      </c>
      <c r="L15" s="148">
        <v>3.7</v>
      </c>
      <c r="M15" s="148">
        <v>20.3</v>
      </c>
      <c r="N15" s="148">
        <v>-13</v>
      </c>
      <c r="O15" s="148">
        <v>16.8</v>
      </c>
      <c r="P15" s="148">
        <v>6.1</v>
      </c>
    </row>
    <row r="16" spans="2:16" s="111" customFormat="1" ht="75" customHeight="1">
      <c r="B16" s="133">
        <v>2013</v>
      </c>
      <c r="C16" s="17">
        <v>8.1</v>
      </c>
      <c r="D16" s="147">
        <v>9.6</v>
      </c>
      <c r="E16" s="147">
        <v>4.4000000000000004</v>
      </c>
      <c r="F16" s="147">
        <v>-1.2</v>
      </c>
      <c r="G16" s="147">
        <v>0.9</v>
      </c>
      <c r="H16" s="17">
        <v>5.3</v>
      </c>
      <c r="I16" s="147">
        <v>4.0999999999999996</v>
      </c>
      <c r="J16" s="147">
        <v>17.600000000000001</v>
      </c>
      <c r="K16" s="147">
        <v>0</v>
      </c>
      <c r="L16" s="147">
        <v>-24.3</v>
      </c>
      <c r="M16" s="147">
        <v>13.5</v>
      </c>
      <c r="N16" s="147">
        <v>-12.9</v>
      </c>
      <c r="O16" s="147">
        <v>8.6999999999999993</v>
      </c>
      <c r="P16" s="147">
        <v>8.6999999999999993</v>
      </c>
    </row>
    <row r="17" spans="2:16" s="111" customFormat="1" ht="75" customHeight="1">
      <c r="B17" s="132">
        <v>2014</v>
      </c>
      <c r="C17" s="117">
        <v>7.5</v>
      </c>
      <c r="D17" s="148">
        <v>9</v>
      </c>
      <c r="E17" s="148">
        <v>8.8000000000000007</v>
      </c>
      <c r="F17" s="148">
        <v>-0.4</v>
      </c>
      <c r="G17" s="148">
        <v>-4.2</v>
      </c>
      <c r="H17" s="117">
        <v>7.1</v>
      </c>
      <c r="I17" s="148">
        <v>4.0999999999999996</v>
      </c>
      <c r="J17" s="148">
        <v>16.100000000000001</v>
      </c>
      <c r="K17" s="148">
        <v>2.2999999999999998</v>
      </c>
      <c r="L17" s="148">
        <v>-33.200000000000003</v>
      </c>
      <c r="M17" s="148">
        <v>11.1</v>
      </c>
      <c r="N17" s="148">
        <v>-4.0999999999999996</v>
      </c>
      <c r="O17" s="148">
        <v>15.2</v>
      </c>
      <c r="P17" s="148">
        <v>12.2</v>
      </c>
    </row>
    <row r="18" spans="2:16" s="111" customFormat="1" ht="75" customHeight="1">
      <c r="B18" s="133">
        <v>2015</v>
      </c>
      <c r="C18" s="17">
        <v>6.4</v>
      </c>
      <c r="D18" s="147">
        <v>7.5</v>
      </c>
      <c r="E18" s="147">
        <v>5.9</v>
      </c>
      <c r="F18" s="147">
        <v>-0.1</v>
      </c>
      <c r="G18" s="147">
        <v>-0.4</v>
      </c>
      <c r="H18" s="17">
        <v>8.6999999999999993</v>
      </c>
      <c r="I18" s="147">
        <v>4.12</v>
      </c>
      <c r="J18" s="147">
        <v>13.8</v>
      </c>
      <c r="K18" s="147">
        <v>2.2000000000000002</v>
      </c>
      <c r="L18" s="147">
        <v>11.9</v>
      </c>
      <c r="M18" s="147">
        <v>4.4000000000000004</v>
      </c>
      <c r="N18" s="147">
        <v>-4.0599999999999996</v>
      </c>
      <c r="O18" s="147">
        <v>18.3</v>
      </c>
      <c r="P18" s="147">
        <v>12.17</v>
      </c>
    </row>
    <row r="19" spans="2:16" s="111" customFormat="1" ht="75" customHeight="1">
      <c r="B19" s="132">
        <v>2016</v>
      </c>
      <c r="C19" s="117">
        <v>7</v>
      </c>
      <c r="D19" s="148">
        <v>7.9</v>
      </c>
      <c r="E19" s="148">
        <v>7.4</v>
      </c>
      <c r="F19" s="148">
        <v>-1.1000000000000001</v>
      </c>
      <c r="G19" s="148">
        <v>2.7</v>
      </c>
      <c r="H19" s="117">
        <v>7</v>
      </c>
      <c r="I19" s="148">
        <v>-2.6</v>
      </c>
      <c r="J19" s="148">
        <v>13.4</v>
      </c>
      <c r="K19" s="148">
        <v>2.5</v>
      </c>
      <c r="L19" s="148">
        <v>11.9</v>
      </c>
      <c r="M19" s="148">
        <v>6.6</v>
      </c>
      <c r="N19" s="148">
        <v>-16.7</v>
      </c>
      <c r="O19" s="148">
        <v>15</v>
      </c>
      <c r="P19" s="148">
        <v>13.8</v>
      </c>
    </row>
    <row r="20" spans="2:16" s="111" customFormat="1" ht="75" customHeight="1">
      <c r="B20" s="133">
        <v>2017</v>
      </c>
      <c r="C20" s="17">
        <v>6.3</v>
      </c>
      <c r="D20" s="147">
        <v>7.4</v>
      </c>
      <c r="E20" s="147">
        <v>-0.5</v>
      </c>
      <c r="F20" s="147">
        <v>-0.5</v>
      </c>
      <c r="G20" s="147">
        <v>0.8</v>
      </c>
      <c r="H20" s="17">
        <v>7.3</v>
      </c>
      <c r="I20" s="147">
        <v>-14</v>
      </c>
      <c r="J20" s="147">
        <v>11.4</v>
      </c>
      <c r="K20" s="147">
        <v>0.7</v>
      </c>
      <c r="L20" s="147">
        <v>-8.1</v>
      </c>
      <c r="M20" s="147">
        <v>8</v>
      </c>
      <c r="N20" s="147">
        <v>-17.600000000000001</v>
      </c>
      <c r="O20" s="147">
        <v>12.9</v>
      </c>
      <c r="P20" s="147">
        <v>15.8</v>
      </c>
    </row>
    <row r="21" spans="2:16" s="111" customFormat="1" ht="75" customHeight="1">
      <c r="B21" s="132">
        <v>2018</v>
      </c>
      <c r="C21" s="117">
        <v>8.8000000000000007</v>
      </c>
      <c r="D21" s="148">
        <v>10.199999999999999</v>
      </c>
      <c r="E21" s="148">
        <v>4</v>
      </c>
      <c r="F21" s="148">
        <v>-1.6</v>
      </c>
      <c r="G21" s="148">
        <v>0.79</v>
      </c>
      <c r="H21" s="117">
        <v>7</v>
      </c>
      <c r="I21" s="148">
        <v>1.87</v>
      </c>
      <c r="J21" s="148">
        <v>10.37</v>
      </c>
      <c r="K21" s="148">
        <v>0.63</v>
      </c>
      <c r="L21" s="148">
        <v>-0.4</v>
      </c>
      <c r="M21" s="148">
        <v>7.48</v>
      </c>
      <c r="N21" s="148">
        <v>-28.12</v>
      </c>
      <c r="O21" s="148">
        <v>14.29</v>
      </c>
      <c r="P21" s="148">
        <v>12.68</v>
      </c>
    </row>
    <row r="22" spans="2:16" s="111" customFormat="1" ht="75" customHeight="1">
      <c r="B22" s="133">
        <v>2019</v>
      </c>
      <c r="C22" s="17">
        <v>8.1</v>
      </c>
      <c r="D22" s="147">
        <v>9.4</v>
      </c>
      <c r="E22" s="147">
        <v>6.4</v>
      </c>
      <c r="F22" s="147">
        <v>-1.2</v>
      </c>
      <c r="G22" s="147">
        <v>-2.2999999999999998</v>
      </c>
      <c r="H22" s="17">
        <v>7.9</v>
      </c>
      <c r="I22" s="147">
        <v>3.3</v>
      </c>
      <c r="J22" s="147">
        <v>9.5</v>
      </c>
      <c r="K22" s="147">
        <v>1.9</v>
      </c>
      <c r="L22" s="147">
        <v>6.4</v>
      </c>
      <c r="M22" s="147">
        <v>6.7</v>
      </c>
      <c r="N22" s="147">
        <v>-61.9</v>
      </c>
      <c r="O22" s="147">
        <v>13.4</v>
      </c>
      <c r="P22" s="147">
        <v>12.5</v>
      </c>
    </row>
    <row r="23" spans="2:16" s="111" customFormat="1" ht="75" customHeight="1">
      <c r="B23" s="132">
        <v>2020</v>
      </c>
      <c r="C23" s="117">
        <v>2.5</v>
      </c>
      <c r="D23" s="148">
        <v>2.9</v>
      </c>
      <c r="E23" s="148">
        <v>7.6</v>
      </c>
      <c r="F23" s="148">
        <v>-3.5</v>
      </c>
      <c r="G23" s="148">
        <v>-2.4</v>
      </c>
      <c r="H23" s="117">
        <v>-1</v>
      </c>
      <c r="I23" s="148">
        <v>1.4</v>
      </c>
      <c r="J23" s="148">
        <v>6.8</v>
      </c>
      <c r="K23" s="148">
        <v>-10.3</v>
      </c>
      <c r="L23" s="148">
        <v>-6.1</v>
      </c>
      <c r="M23" s="148">
        <v>6.2</v>
      </c>
      <c r="N23" s="148" t="s">
        <v>94</v>
      </c>
      <c r="O23" s="148">
        <v>-0.9</v>
      </c>
      <c r="P23" s="148">
        <v>3.8</v>
      </c>
    </row>
    <row r="24" spans="2:16" s="111" customFormat="1" ht="75" customHeight="1">
      <c r="B24" s="133">
        <v>2021</v>
      </c>
      <c r="C24" s="17">
        <v>5.9</v>
      </c>
      <c r="D24" s="147">
        <v>6.6</v>
      </c>
      <c r="E24" s="147">
        <v>4.3</v>
      </c>
      <c r="F24" s="147">
        <v>-0.8</v>
      </c>
      <c r="G24" s="147">
        <v>0.7</v>
      </c>
      <c r="H24" s="17">
        <v>7.8</v>
      </c>
      <c r="I24" s="147">
        <v>3</v>
      </c>
      <c r="J24" s="147">
        <v>6.7</v>
      </c>
      <c r="K24" s="147">
        <v>-3.3</v>
      </c>
      <c r="L24" s="147">
        <v>1</v>
      </c>
      <c r="M24" s="147">
        <v>9.1</v>
      </c>
      <c r="N24" s="147" t="s">
        <v>94</v>
      </c>
      <c r="O24" s="147">
        <v>16.5</v>
      </c>
      <c r="P24" s="147">
        <v>5.9</v>
      </c>
    </row>
    <row r="25" spans="2:16" s="111" customFormat="1" ht="75" customHeight="1">
      <c r="B25" s="150" t="s">
        <v>158</v>
      </c>
      <c r="C25" s="117">
        <v>7.8816426762600127</v>
      </c>
      <c r="D25" s="148">
        <v>8.9</v>
      </c>
      <c r="E25" s="148">
        <v>4.4000000000000004</v>
      </c>
      <c r="F25" s="148">
        <v>1.0460666910402909</v>
      </c>
      <c r="G25" s="148">
        <v>-0.86689456622268979</v>
      </c>
      <c r="H25" s="117">
        <v>11.728633434561306</v>
      </c>
      <c r="I25" s="148">
        <v>-4.481128969755023</v>
      </c>
      <c r="J25" s="148">
        <v>5.5386511125325582</v>
      </c>
      <c r="K25" s="148">
        <v>1.1340769684214074</v>
      </c>
      <c r="L25" s="148">
        <v>-105.97370453575917</v>
      </c>
      <c r="M25" s="148">
        <v>14.189673013111506</v>
      </c>
      <c r="N25" s="148" t="s">
        <v>94</v>
      </c>
      <c r="O25" s="148">
        <v>26.423398963585935</v>
      </c>
      <c r="P25" s="148">
        <v>10.736276409646994</v>
      </c>
    </row>
    <row r="26" spans="2:16" s="111" customFormat="1" ht="75" customHeight="1">
      <c r="B26" s="133" t="s">
        <v>157</v>
      </c>
      <c r="C26" s="17">
        <v>8.7370508936993172</v>
      </c>
      <c r="D26" s="147">
        <v>9.2062013117545334</v>
      </c>
      <c r="E26" s="147">
        <v>8.8290263576240662</v>
      </c>
      <c r="F26" s="147">
        <v>-4.9490196304707704E-2</v>
      </c>
      <c r="G26" s="147">
        <v>-2.4068191540696042</v>
      </c>
      <c r="H26" s="17">
        <v>10.891763680780532</v>
      </c>
      <c r="I26" s="147">
        <v>-4.636057217276413</v>
      </c>
      <c r="J26" s="147">
        <v>6.3436496294756148</v>
      </c>
      <c r="K26" s="147">
        <v>2.4199569084092762</v>
      </c>
      <c r="L26" s="147">
        <v>-0.16962766534874399</v>
      </c>
      <c r="M26" s="147">
        <v>14.326327599344097</v>
      </c>
      <c r="N26" s="147" t="s">
        <v>94</v>
      </c>
      <c r="O26" s="147">
        <v>19.064737808990749</v>
      </c>
      <c r="P26" s="147">
        <v>7.3338964759277134</v>
      </c>
    </row>
    <row r="27" spans="2:16" s="111" customFormat="1" ht="75" customHeight="1">
      <c r="B27" s="150" t="s">
        <v>156</v>
      </c>
      <c r="C27" s="117">
        <v>9.9174029786391333</v>
      </c>
      <c r="D27" s="148">
        <v>10.952405635045228</v>
      </c>
      <c r="E27" s="148">
        <v>5.5705992455464042</v>
      </c>
      <c r="F27" s="148">
        <v>0.37930660564429991</v>
      </c>
      <c r="G27" s="148">
        <v>-0.61430921467924282</v>
      </c>
      <c r="H27" s="117">
        <v>9.392273669892095</v>
      </c>
      <c r="I27" s="148">
        <v>3.8558130774927273</v>
      </c>
      <c r="J27" s="148">
        <v>9.5632795151753065</v>
      </c>
      <c r="K27" s="148">
        <v>-0.69746090379485137</v>
      </c>
      <c r="L27" s="148">
        <v>-0.54144391532525715</v>
      </c>
      <c r="M27" s="148">
        <v>13.124326372443274</v>
      </c>
      <c r="N27" s="148" t="s">
        <v>94</v>
      </c>
      <c r="O27" s="148">
        <v>12.605517736965096</v>
      </c>
      <c r="P27" s="148">
        <v>12.952331480528443</v>
      </c>
    </row>
    <row r="28" spans="2:16" s="111" customFormat="1" ht="75" customHeight="1">
      <c r="B28" s="152" t="s">
        <v>163</v>
      </c>
      <c r="C28" s="153">
        <v>10.184764381629725</v>
      </c>
      <c r="D28" s="154">
        <v>10.820402480390843</v>
      </c>
      <c r="E28" s="154">
        <v>9.3384708394985481</v>
      </c>
      <c r="F28" s="154">
        <v>3.9185671273476372</v>
      </c>
      <c r="G28" s="154">
        <v>0.33976570463529088</v>
      </c>
      <c r="H28" s="153">
        <v>10.625167146416578</v>
      </c>
      <c r="I28" s="154">
        <v>5.7070967889015316</v>
      </c>
      <c r="J28" s="154">
        <v>12.984569877607562</v>
      </c>
      <c r="K28" s="154">
        <v>0.44111877549063716</v>
      </c>
      <c r="L28" s="154">
        <v>11.015982107960955</v>
      </c>
      <c r="M28" s="154">
        <v>13.136263101480452</v>
      </c>
      <c r="N28" s="154" t="s">
        <v>94</v>
      </c>
      <c r="O28" s="154">
        <v>13.001936616158567</v>
      </c>
      <c r="P28" s="154">
        <v>11.264457941793014</v>
      </c>
    </row>
    <row r="29" spans="2:16" s="108" customFormat="1" ht="10.15" customHeight="1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2:16" s="87" customFormat="1" ht="30" customHeight="1">
      <c r="B30" s="78" t="s">
        <v>67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194" t="s">
        <v>93</v>
      </c>
      <c r="P30" s="194"/>
    </row>
    <row r="31" spans="2:16" s="87" customFormat="1" ht="30" customHeight="1">
      <c r="B31" s="78" t="s">
        <v>153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P31" s="140" t="s">
        <v>154</v>
      </c>
    </row>
    <row r="32" spans="2:16" s="87" customFormat="1" ht="30" customHeight="1">
      <c r="B32" s="41" t="s">
        <v>155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210" t="s">
        <v>137</v>
      </c>
      <c r="P32" s="210"/>
    </row>
    <row r="33" spans="2:16" s="87" customFormat="1" ht="30" customHeight="1">
      <c r="B33" s="42" t="s">
        <v>138</v>
      </c>
      <c r="C33" s="43"/>
      <c r="D33" s="43"/>
      <c r="E33" s="43"/>
      <c r="F33" s="43"/>
      <c r="G33" s="78"/>
      <c r="H33" s="78"/>
      <c r="I33" s="78"/>
      <c r="J33" s="78"/>
      <c r="K33" s="44"/>
      <c r="L33" s="44"/>
      <c r="M33" s="44"/>
      <c r="N33" s="44"/>
      <c r="O33" s="44"/>
      <c r="P33" s="45" t="s">
        <v>142</v>
      </c>
    </row>
    <row r="41" spans="2:16" ht="1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 ht="1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 ht="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 ht="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 ht="1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 ht="1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 ht="1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2:16" ht="1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2:16" ht="1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2:16" ht="1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2:16" ht="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2:16" ht="1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2:16" ht="1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2:16" ht="1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2:16" ht="1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2:16" ht="1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2:16" ht="1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2:16" ht="1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2:16" ht="1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2:16" ht="1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2:16" ht="1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2:16" ht="1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2:16" ht="1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2:16" ht="1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2:16" ht="1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2:16" ht="1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2:16" ht="1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2:16" ht="1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6" ht="1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2:16" ht="1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2:16" ht="1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2:16" ht="1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2:16" ht="1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2:16" ht="1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2:16" ht="1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2:16" ht="1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</sheetData>
  <sortState ref="B39:P52">
    <sortCondition descending="1" ref="B39"/>
  </sortState>
  <mergeCells count="10">
    <mergeCell ref="B3:B4"/>
    <mergeCell ref="E2:M2"/>
    <mergeCell ref="B2:D2"/>
    <mergeCell ref="O30:P30"/>
    <mergeCell ref="C3:O3"/>
    <mergeCell ref="O32:P32"/>
    <mergeCell ref="C6:G6"/>
    <mergeCell ref="H6:P6"/>
    <mergeCell ref="C4:O4"/>
    <mergeCell ref="O2:P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4"/>
  <sheetViews>
    <sheetView rightToLeft="1" topLeftCell="A10" zoomScale="40" zoomScaleNormal="40" workbookViewId="0">
      <selection activeCell="E2" sqref="E2:L2"/>
    </sheetView>
  </sheetViews>
  <sheetFormatPr defaultColWidth="9.140625" defaultRowHeight="15.75"/>
  <cols>
    <col min="1" max="1" width="10.7109375" customWidth="1"/>
    <col min="2" max="2" width="25.7109375" style="1" customWidth="1"/>
    <col min="3" max="15" width="30.7109375" style="1" customWidth="1"/>
    <col min="16" max="16" width="13.7109375" customWidth="1"/>
  </cols>
  <sheetData>
    <row r="1" spans="2:15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15" s="82" customFormat="1" ht="40.15" customHeight="1">
      <c r="B2" s="230" t="s">
        <v>130</v>
      </c>
      <c r="C2" s="231"/>
      <c r="D2" s="232"/>
      <c r="E2" s="233" t="s">
        <v>105</v>
      </c>
      <c r="F2" s="234"/>
      <c r="G2" s="234"/>
      <c r="H2" s="234"/>
      <c r="I2" s="234"/>
      <c r="J2" s="234"/>
      <c r="K2" s="234"/>
      <c r="L2" s="235"/>
      <c r="M2" s="125"/>
      <c r="N2" s="223" t="s">
        <v>106</v>
      </c>
      <c r="O2" s="223"/>
    </row>
    <row r="3" spans="2:15" s="82" customFormat="1" ht="40.15" customHeight="1">
      <c r="B3" s="226"/>
      <c r="C3" s="229" t="s">
        <v>146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126" t="s">
        <v>139</v>
      </c>
    </row>
    <row r="4" spans="2:15" s="82" customFormat="1" ht="40.15" customHeight="1">
      <c r="B4" s="227"/>
      <c r="C4" s="222" t="s">
        <v>144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127" t="s">
        <v>140</v>
      </c>
    </row>
    <row r="5" spans="2:15" ht="10.15" customHeight="1">
      <c r="B5" s="120"/>
      <c r="C5" s="121"/>
      <c r="D5" s="122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4"/>
    </row>
    <row r="6" spans="2:15" ht="120" customHeight="1">
      <c r="B6" s="224"/>
      <c r="C6" s="149"/>
      <c r="D6" s="213" t="s">
        <v>87</v>
      </c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0" t="s">
        <v>98</v>
      </c>
    </row>
    <row r="7" spans="2:15" ht="120" customHeight="1">
      <c r="B7" s="225"/>
      <c r="C7" s="145"/>
      <c r="D7" s="144" t="s">
        <v>52</v>
      </c>
      <c r="E7" s="109" t="s">
        <v>51</v>
      </c>
      <c r="F7" s="109" t="s">
        <v>50</v>
      </c>
      <c r="G7" s="109" t="s">
        <v>49</v>
      </c>
      <c r="H7" s="109" t="s">
        <v>48</v>
      </c>
      <c r="I7" s="109" t="s">
        <v>47</v>
      </c>
      <c r="J7" s="109" t="s">
        <v>46</v>
      </c>
      <c r="K7" s="109" t="s">
        <v>45</v>
      </c>
      <c r="L7" s="109" t="s">
        <v>44</v>
      </c>
      <c r="M7" s="109" t="s">
        <v>43</v>
      </c>
      <c r="N7" s="109" t="s">
        <v>42</v>
      </c>
      <c r="O7" s="221"/>
    </row>
    <row r="8" spans="2:15" ht="50.1" customHeight="1">
      <c r="B8" s="48"/>
      <c r="C8" s="143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47"/>
    </row>
    <row r="9" spans="2:15" ht="120" customHeight="1">
      <c r="B9" s="33"/>
      <c r="C9" s="80"/>
      <c r="D9" s="95" t="s">
        <v>39</v>
      </c>
      <c r="E9" s="95" t="s">
        <v>38</v>
      </c>
      <c r="F9" s="95" t="s">
        <v>37</v>
      </c>
      <c r="G9" s="95" t="s">
        <v>36</v>
      </c>
      <c r="H9" s="95" t="s">
        <v>35</v>
      </c>
      <c r="I9" s="95" t="s">
        <v>34</v>
      </c>
      <c r="J9" s="95" t="s">
        <v>33</v>
      </c>
      <c r="K9" s="95" t="s">
        <v>32</v>
      </c>
      <c r="L9" s="95" t="s">
        <v>31</v>
      </c>
      <c r="M9" s="95" t="s">
        <v>30</v>
      </c>
      <c r="N9" s="95" t="s">
        <v>29</v>
      </c>
      <c r="O9" s="129" t="s">
        <v>78</v>
      </c>
    </row>
    <row r="10" spans="2:15" ht="70.5" customHeight="1">
      <c r="B10" s="22" t="s">
        <v>79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s="19" customFormat="1" ht="75" customHeight="1">
      <c r="B11" s="116">
        <v>2008</v>
      </c>
      <c r="C11" s="128">
        <v>24.735158141514674</v>
      </c>
      <c r="D11" s="148">
        <v>2.2262675383569803</v>
      </c>
      <c r="E11" s="148">
        <v>-8.7035695970451954</v>
      </c>
      <c r="F11" s="148">
        <v>3.8</v>
      </c>
      <c r="G11" s="148">
        <v>10.245408463563766</v>
      </c>
      <c r="H11" s="148">
        <v>1.4610373816103139</v>
      </c>
      <c r="I11" s="148">
        <v>16.2</v>
      </c>
      <c r="J11" s="148">
        <v>42.767846334553333</v>
      </c>
      <c r="K11" s="148">
        <v>1.1863083726547661</v>
      </c>
      <c r="L11" s="148">
        <v>-2.5448539838216857</v>
      </c>
      <c r="M11" s="148">
        <v>-1.6838968413039197</v>
      </c>
      <c r="N11" s="148">
        <v>-3.5728945622451764</v>
      </c>
      <c r="O11" s="117">
        <v>11.04538255720046</v>
      </c>
    </row>
    <row r="12" spans="2:15" s="19" customFormat="1" ht="75" customHeight="1">
      <c r="B12" s="16">
        <v>2009</v>
      </c>
      <c r="C12" s="20">
        <v>10.690392050107096</v>
      </c>
      <c r="D12" s="147">
        <v>6.3891954774217075</v>
      </c>
      <c r="E12" s="147">
        <v>2.2743844948540075</v>
      </c>
      <c r="F12" s="147">
        <v>-12.3</v>
      </c>
      <c r="G12" s="147">
        <v>5.169934958806091</v>
      </c>
      <c r="H12" s="147">
        <v>2.7809107947200542</v>
      </c>
      <c r="I12" s="147">
        <v>14.4</v>
      </c>
      <c r="J12" s="147">
        <v>17.922963607197122</v>
      </c>
      <c r="K12" s="147">
        <v>-3.7161610719542497</v>
      </c>
      <c r="L12" s="147">
        <v>-8.7883420971724977</v>
      </c>
      <c r="M12" s="147">
        <v>0.43787586303391962</v>
      </c>
      <c r="N12" s="147">
        <v>-12.234215441572278</v>
      </c>
      <c r="O12" s="17">
        <v>5.4323146004091383</v>
      </c>
    </row>
    <row r="13" spans="2:15" s="19" customFormat="1" ht="75" customHeight="1">
      <c r="B13" s="116">
        <v>2010</v>
      </c>
      <c r="C13" s="128">
        <v>9.5</v>
      </c>
      <c r="D13" s="148">
        <v>8.9629013432452496</v>
      </c>
      <c r="E13" s="148">
        <v>2.7070374607411791</v>
      </c>
      <c r="F13" s="148">
        <v>-32.4</v>
      </c>
      <c r="G13" s="148">
        <v>6.8</v>
      </c>
      <c r="H13" s="148">
        <v>3.1066474285628556</v>
      </c>
      <c r="I13" s="148">
        <v>22.6</v>
      </c>
      <c r="J13" s="148">
        <v>14.966501919189241</v>
      </c>
      <c r="K13" s="148">
        <v>-4.4401629040151773</v>
      </c>
      <c r="L13" s="148">
        <v>-19.2</v>
      </c>
      <c r="M13" s="148">
        <v>3.795691298668797</v>
      </c>
      <c r="N13" s="148">
        <v>-15.977790133378614</v>
      </c>
      <c r="O13" s="117">
        <v>5.4</v>
      </c>
    </row>
    <row r="14" spans="2:15" s="19" customFormat="1" ht="75" customHeight="1">
      <c r="B14" s="16">
        <v>2011</v>
      </c>
      <c r="C14" s="20">
        <v>20.100000000000001</v>
      </c>
      <c r="D14" s="147">
        <v>-6.9</v>
      </c>
      <c r="E14" s="147">
        <v>3.9</v>
      </c>
      <c r="F14" s="147">
        <v>-2.2000000000000002</v>
      </c>
      <c r="G14" s="147">
        <v>4.3</v>
      </c>
      <c r="H14" s="147">
        <v>-4.5999999999999996</v>
      </c>
      <c r="I14" s="147">
        <v>23</v>
      </c>
      <c r="J14" s="147">
        <v>27.9</v>
      </c>
      <c r="K14" s="147">
        <v>-1.4</v>
      </c>
      <c r="L14" s="147">
        <v>-16.5</v>
      </c>
      <c r="M14" s="147">
        <v>5.5</v>
      </c>
      <c r="N14" s="147">
        <v>-30.193209953071978</v>
      </c>
      <c r="O14" s="17">
        <v>7.7</v>
      </c>
    </row>
    <row r="15" spans="2:15" s="19" customFormat="1" ht="75" customHeight="1">
      <c r="B15" s="132">
        <v>2012</v>
      </c>
      <c r="C15" s="128">
        <v>12.2</v>
      </c>
      <c r="D15" s="148">
        <v>-5.2</v>
      </c>
      <c r="E15" s="148">
        <v>4.5999999999999996</v>
      </c>
      <c r="F15" s="148">
        <v>-11.2</v>
      </c>
      <c r="G15" s="148">
        <v>4.8</v>
      </c>
      <c r="H15" s="148">
        <v>2</v>
      </c>
      <c r="I15" s="148">
        <v>25.5</v>
      </c>
      <c r="J15" s="148">
        <v>15.6</v>
      </c>
      <c r="K15" s="148">
        <v>-0.4</v>
      </c>
      <c r="L15" s="148">
        <v>-11.9</v>
      </c>
      <c r="M15" s="148">
        <v>5.9</v>
      </c>
      <c r="N15" s="148">
        <v>-30.5</v>
      </c>
      <c r="O15" s="117">
        <v>8.1</v>
      </c>
    </row>
    <row r="16" spans="2:15" s="19" customFormat="1" ht="75" customHeight="1">
      <c r="B16" s="133">
        <v>2013</v>
      </c>
      <c r="C16" s="20">
        <v>5.8</v>
      </c>
      <c r="D16" s="147">
        <v>4</v>
      </c>
      <c r="E16" s="147">
        <v>5.4</v>
      </c>
      <c r="F16" s="147">
        <v>-19.2</v>
      </c>
      <c r="G16" s="147">
        <v>5.2</v>
      </c>
      <c r="H16" s="147">
        <v>5.8</v>
      </c>
      <c r="I16" s="147">
        <v>28.7</v>
      </c>
      <c r="J16" s="147">
        <v>5.9</v>
      </c>
      <c r="K16" s="147">
        <v>2.7</v>
      </c>
      <c r="L16" s="147">
        <v>-8</v>
      </c>
      <c r="M16" s="147">
        <v>4.2</v>
      </c>
      <c r="N16" s="147">
        <v>-178</v>
      </c>
      <c r="O16" s="17">
        <v>7.3</v>
      </c>
    </row>
    <row r="17" spans="2:16" s="19" customFormat="1" ht="75" customHeight="1">
      <c r="B17" s="132">
        <v>2014</v>
      </c>
      <c r="C17" s="128">
        <v>6.8</v>
      </c>
      <c r="D17" s="148">
        <v>0.9</v>
      </c>
      <c r="E17" s="148">
        <v>3</v>
      </c>
      <c r="F17" s="148">
        <v>-1.8</v>
      </c>
      <c r="G17" s="148">
        <v>5.6</v>
      </c>
      <c r="H17" s="148">
        <v>9.6</v>
      </c>
      <c r="I17" s="148">
        <v>26</v>
      </c>
      <c r="J17" s="148">
        <v>6.9</v>
      </c>
      <c r="K17" s="148">
        <v>3.4</v>
      </c>
      <c r="L17" s="148">
        <v>-8.3000000000000007</v>
      </c>
      <c r="M17" s="148">
        <v>3.5</v>
      </c>
      <c r="N17" s="148">
        <v>-48.6</v>
      </c>
      <c r="O17" s="117">
        <v>7.3</v>
      </c>
    </row>
    <row r="18" spans="2:16" s="19" customFormat="1" ht="75" customHeight="1">
      <c r="B18" s="133">
        <v>2015</v>
      </c>
      <c r="C18" s="20">
        <v>7.7</v>
      </c>
      <c r="D18" s="147">
        <v>-6.3</v>
      </c>
      <c r="E18" s="147">
        <v>-0.6</v>
      </c>
      <c r="F18" s="147">
        <v>-27.4</v>
      </c>
      <c r="G18" s="147">
        <v>6.9</v>
      </c>
      <c r="H18" s="147">
        <v>8</v>
      </c>
      <c r="I18" s="147">
        <v>29.5</v>
      </c>
      <c r="J18" s="147">
        <v>9.3000000000000007</v>
      </c>
      <c r="K18" s="147">
        <v>-0.8</v>
      </c>
      <c r="L18" s="147">
        <v>-36</v>
      </c>
      <c r="M18" s="147">
        <v>2.1</v>
      </c>
      <c r="N18" s="147" t="s">
        <v>94</v>
      </c>
      <c r="O18" s="17">
        <v>7</v>
      </c>
    </row>
    <row r="19" spans="2:16" s="19" customFormat="1" ht="75" customHeight="1">
      <c r="B19" s="132">
        <v>2016</v>
      </c>
      <c r="C19" s="128">
        <v>1.1000000000000001</v>
      </c>
      <c r="D19" s="148">
        <v>-2.5</v>
      </c>
      <c r="E19" s="148">
        <v>4.2</v>
      </c>
      <c r="F19" s="148">
        <v>-2.6</v>
      </c>
      <c r="G19" s="148">
        <v>11.9</v>
      </c>
      <c r="H19" s="148">
        <v>-0.4</v>
      </c>
      <c r="I19" s="148">
        <v>32</v>
      </c>
      <c r="J19" s="148">
        <v>-0.7</v>
      </c>
      <c r="K19" s="148">
        <v>5.6</v>
      </c>
      <c r="L19" s="148">
        <v>-3.7</v>
      </c>
      <c r="M19" s="148">
        <v>2.6</v>
      </c>
      <c r="N19" s="148" t="s">
        <v>94</v>
      </c>
      <c r="O19" s="117">
        <v>5.9</v>
      </c>
    </row>
    <row r="20" spans="2:16" s="19" customFormat="1" ht="75" customHeight="1">
      <c r="B20" s="133">
        <v>2017</v>
      </c>
      <c r="C20" s="20">
        <v>2.4</v>
      </c>
      <c r="D20" s="147">
        <v>-6.1</v>
      </c>
      <c r="E20" s="147">
        <v>0.1</v>
      </c>
      <c r="F20" s="147" t="s">
        <v>94</v>
      </c>
      <c r="G20" s="147">
        <v>12.2</v>
      </c>
      <c r="H20" s="147">
        <v>4.9000000000000004</v>
      </c>
      <c r="I20" s="147">
        <v>36.299999999999997</v>
      </c>
      <c r="J20" s="147">
        <v>0.5</v>
      </c>
      <c r="K20" s="147">
        <v>1.1000000000000001</v>
      </c>
      <c r="L20" s="147">
        <v>-1.8</v>
      </c>
      <c r="M20" s="147">
        <v>0.3</v>
      </c>
      <c r="N20" s="147" t="s">
        <v>94</v>
      </c>
      <c r="O20" s="17">
        <v>5.8</v>
      </c>
    </row>
    <row r="21" spans="2:16" s="19" customFormat="1" ht="75" customHeight="1">
      <c r="B21" s="132">
        <v>2018</v>
      </c>
      <c r="C21" s="128">
        <v>6.9</v>
      </c>
      <c r="D21" s="148">
        <v>-8.1999999999999993</v>
      </c>
      <c r="E21" s="148">
        <v>-0.9</v>
      </c>
      <c r="F21" s="148">
        <v>28.3</v>
      </c>
      <c r="G21" s="148">
        <v>1.1399999999999999</v>
      </c>
      <c r="H21" s="148">
        <v>1.4</v>
      </c>
      <c r="I21" s="148">
        <v>28.68</v>
      </c>
      <c r="J21" s="148">
        <v>7.68</v>
      </c>
      <c r="K21" s="148">
        <v>-4.28</v>
      </c>
      <c r="L21" s="148">
        <v>-6.8</v>
      </c>
      <c r="M21" s="148">
        <v>0.42</v>
      </c>
      <c r="N21" s="148" t="s">
        <v>94</v>
      </c>
      <c r="O21" s="117">
        <v>8.1999999999999993</v>
      </c>
    </row>
    <row r="22" spans="2:16" s="19" customFormat="1" ht="75" customHeight="1">
      <c r="B22" s="133">
        <v>2019</v>
      </c>
      <c r="C22" s="20">
        <v>5.5</v>
      </c>
      <c r="D22" s="147">
        <v>-14.2</v>
      </c>
      <c r="E22" s="147">
        <v>4.3</v>
      </c>
      <c r="F22" s="147" t="s">
        <v>94</v>
      </c>
      <c r="G22" s="147" t="s">
        <v>94</v>
      </c>
      <c r="H22" s="147">
        <v>3.6</v>
      </c>
      <c r="I22" s="147">
        <v>19.899999999999999</v>
      </c>
      <c r="J22" s="147">
        <v>6.5</v>
      </c>
      <c r="K22" s="147">
        <v>-13.5</v>
      </c>
      <c r="L22" s="147">
        <v>-6</v>
      </c>
      <c r="M22" s="147">
        <v>5.5</v>
      </c>
      <c r="N22" s="147" t="s">
        <v>94</v>
      </c>
      <c r="O22" s="17">
        <v>7.6</v>
      </c>
    </row>
    <row r="23" spans="2:16" s="19" customFormat="1" ht="75" customHeight="1">
      <c r="B23" s="132">
        <v>2020</v>
      </c>
      <c r="C23" s="128">
        <v>5.9</v>
      </c>
      <c r="D23" s="148">
        <v>17.899999999999999</v>
      </c>
      <c r="E23" s="148">
        <v>-3.4</v>
      </c>
      <c r="F23" s="148" t="s">
        <v>94</v>
      </c>
      <c r="G23" s="148" t="s">
        <v>94</v>
      </c>
      <c r="H23" s="148">
        <v>0.7</v>
      </c>
      <c r="I23" s="148">
        <v>-96</v>
      </c>
      <c r="J23" s="148">
        <v>9.5</v>
      </c>
      <c r="K23" s="148">
        <v>-28.8</v>
      </c>
      <c r="L23" s="148">
        <v>-3.9</v>
      </c>
      <c r="M23" s="148">
        <v>2.7</v>
      </c>
      <c r="N23" s="148" t="s">
        <v>94</v>
      </c>
      <c r="O23" s="117">
        <v>2.6</v>
      </c>
    </row>
    <row r="24" spans="2:16" s="19" customFormat="1" ht="75" customHeight="1">
      <c r="B24" s="133">
        <v>2021</v>
      </c>
      <c r="C24" s="20">
        <v>21.7</v>
      </c>
      <c r="D24" s="147">
        <v>6.2</v>
      </c>
      <c r="E24" s="147">
        <v>7.1</v>
      </c>
      <c r="F24" s="147" t="s">
        <v>94</v>
      </c>
      <c r="G24" s="147" t="s">
        <v>94</v>
      </c>
      <c r="H24" s="147">
        <v>9</v>
      </c>
      <c r="I24" s="147">
        <v>-5034.1000000000004</v>
      </c>
      <c r="J24" s="147">
        <v>26.4</v>
      </c>
      <c r="K24" s="147">
        <v>-8</v>
      </c>
      <c r="L24" s="147">
        <v>-2.6</v>
      </c>
      <c r="M24" s="147">
        <v>2.7</v>
      </c>
      <c r="N24" s="147" t="s">
        <v>94</v>
      </c>
      <c r="O24" s="17">
        <v>9</v>
      </c>
    </row>
    <row r="25" spans="2:16" s="111" customFormat="1" ht="75" customHeight="1">
      <c r="B25" s="150" t="s">
        <v>158</v>
      </c>
      <c r="C25" s="117">
        <v>36.496475371737183</v>
      </c>
      <c r="D25" s="148">
        <v>6.1948768966020547</v>
      </c>
      <c r="E25" s="148">
        <v>6.1213201489246156</v>
      </c>
      <c r="F25" s="148" t="s">
        <v>94</v>
      </c>
      <c r="G25" s="148" t="s">
        <v>94</v>
      </c>
      <c r="H25" s="148">
        <v>7.1716949621964554</v>
      </c>
      <c r="I25" s="148">
        <v>96.157488767077993</v>
      </c>
      <c r="J25" s="148">
        <v>41.377040584831725</v>
      </c>
      <c r="K25" s="148">
        <v>-4.22253075020034</v>
      </c>
      <c r="L25" s="148">
        <v>-2.2810840905052752</v>
      </c>
      <c r="M25" s="148">
        <v>3.6716548800693607</v>
      </c>
      <c r="N25" s="148" t="s">
        <v>94</v>
      </c>
      <c r="O25" s="117">
        <v>14.613131465714668</v>
      </c>
      <c r="P25" s="19"/>
    </row>
    <row r="26" spans="2:16" s="111" customFormat="1" ht="75" customHeight="1">
      <c r="B26" s="133" t="s">
        <v>157</v>
      </c>
      <c r="C26" s="17">
        <v>18.905754011935301</v>
      </c>
      <c r="D26" s="147">
        <v>1.4366115926980667</v>
      </c>
      <c r="E26" s="147">
        <v>0.81022004097017919</v>
      </c>
      <c r="F26" s="147" t="s">
        <v>94</v>
      </c>
      <c r="G26" s="147" t="s">
        <v>94</v>
      </c>
      <c r="H26" s="147">
        <v>8.1649612969649574</v>
      </c>
      <c r="I26" s="147">
        <v>-34.244600114228355</v>
      </c>
      <c r="J26" s="147">
        <v>21.402912957759714</v>
      </c>
      <c r="K26" s="147">
        <v>3.1743209003848145</v>
      </c>
      <c r="L26" s="147">
        <v>-0.83722739033817106</v>
      </c>
      <c r="M26" s="147">
        <v>3.3248073721267173</v>
      </c>
      <c r="N26" s="147" t="s">
        <v>94</v>
      </c>
      <c r="O26" s="17">
        <v>11.298995250836283</v>
      </c>
      <c r="P26" s="19"/>
    </row>
    <row r="27" spans="2:16" s="111" customFormat="1" ht="75" customHeight="1">
      <c r="B27" s="150" t="s">
        <v>156</v>
      </c>
      <c r="C27" s="117">
        <v>16.444729877070124</v>
      </c>
      <c r="D27" s="148">
        <v>7.4124685826507219</v>
      </c>
      <c r="E27" s="148">
        <v>8.7627750729203626</v>
      </c>
      <c r="F27" s="148" t="s">
        <v>94</v>
      </c>
      <c r="G27" s="148" t="s">
        <v>94</v>
      </c>
      <c r="H27" s="148">
        <v>4.6797713594757484</v>
      </c>
      <c r="I27" s="148" t="s">
        <v>94</v>
      </c>
      <c r="J27" s="148">
        <v>18.217092629406846</v>
      </c>
      <c r="K27" s="148">
        <v>2.8176593444042428</v>
      </c>
      <c r="L27" s="148">
        <v>-0.9349888804428923</v>
      </c>
      <c r="M27" s="148">
        <v>3.8770728185765373</v>
      </c>
      <c r="N27" s="148" t="s">
        <v>94</v>
      </c>
      <c r="O27" s="117">
        <v>11.282313352595517</v>
      </c>
      <c r="P27" s="19"/>
    </row>
    <row r="28" spans="2:16" s="111" customFormat="1" ht="75" customHeight="1">
      <c r="B28" s="152" t="s">
        <v>163</v>
      </c>
      <c r="C28" s="153">
        <v>17.303724852300469</v>
      </c>
      <c r="D28" s="154">
        <v>9.1373005520296395</v>
      </c>
      <c r="E28" s="154">
        <v>9.335081985057343</v>
      </c>
      <c r="F28" s="154" t="s">
        <v>94</v>
      </c>
      <c r="G28" s="154" t="s">
        <v>94</v>
      </c>
      <c r="H28" s="154">
        <v>0.35662346740653567</v>
      </c>
      <c r="I28" s="154" t="s">
        <v>94</v>
      </c>
      <c r="J28" s="154">
        <v>19.266625687820095</v>
      </c>
      <c r="K28" s="154">
        <v>3.2040149849433188</v>
      </c>
      <c r="L28" s="154">
        <v>1.2724886341481512</v>
      </c>
      <c r="M28" s="154">
        <v>4.4559550532232883</v>
      </c>
      <c r="N28" s="154" t="s">
        <v>94</v>
      </c>
      <c r="O28" s="153">
        <v>11.818301346666487</v>
      </c>
      <c r="P28" s="19"/>
    </row>
    <row r="29" spans="2:16" s="108" customFormat="1" ht="10.15" customHeight="1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</row>
    <row r="30" spans="2:16" s="87" customFormat="1" ht="30" customHeight="1">
      <c r="B30" s="78" t="s">
        <v>67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 t="s">
        <v>93</v>
      </c>
    </row>
    <row r="31" spans="2:16" s="87" customFormat="1" ht="30" customHeight="1">
      <c r="B31" s="78" t="s">
        <v>153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 t="s">
        <v>154</v>
      </c>
    </row>
    <row r="32" spans="2:16" s="87" customFormat="1" ht="30" customHeight="1">
      <c r="B32" s="41" t="s">
        <v>155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118" t="s">
        <v>137</v>
      </c>
    </row>
    <row r="33" spans="2:15" s="87" customFormat="1" ht="30" customHeight="1">
      <c r="B33" s="42" t="s">
        <v>138</v>
      </c>
      <c r="C33" s="119"/>
      <c r="D33" s="119"/>
      <c r="E33" s="119"/>
      <c r="F33" s="119"/>
      <c r="G33" s="78"/>
      <c r="H33" s="78"/>
      <c r="I33" s="78"/>
      <c r="J33" s="44"/>
      <c r="K33" s="44"/>
      <c r="L33" s="44"/>
      <c r="M33" s="44"/>
      <c r="N33" s="44"/>
      <c r="O33" s="45" t="s">
        <v>142</v>
      </c>
    </row>
    <row r="34" spans="2:15" ht="38.25" customHeight="1">
      <c r="M34" s="219" t="s">
        <v>96</v>
      </c>
      <c r="N34" s="219"/>
      <c r="O34" s="219"/>
    </row>
  </sheetData>
  <sortState ref="B76:C89">
    <sortCondition descending="1" ref="B76"/>
  </sortState>
  <mergeCells count="10">
    <mergeCell ref="M34:O34"/>
    <mergeCell ref="O6:O7"/>
    <mergeCell ref="C4:N4"/>
    <mergeCell ref="N2:O2"/>
    <mergeCell ref="B6:B7"/>
    <mergeCell ref="B3:B4"/>
    <mergeCell ref="D6:N6"/>
    <mergeCell ref="C3:N3"/>
    <mergeCell ref="B2:D2"/>
    <mergeCell ref="E2:L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بورصة عمان</vt:lpstr>
      <vt:lpstr>59a</vt:lpstr>
      <vt:lpstr>59b</vt:lpstr>
      <vt:lpstr>60a</vt:lpstr>
      <vt:lpstr>60b</vt:lpstr>
      <vt:lpstr>61</vt:lpstr>
      <vt:lpstr>62a</vt:lpstr>
      <vt:lpstr>62b</vt:lpstr>
      <vt:lpstr>'59a'!Print_Area</vt:lpstr>
      <vt:lpstr>'59b'!Print_Area</vt:lpstr>
      <vt:lpstr>'60a'!Print_Area</vt:lpstr>
      <vt:lpstr>'60b'!Print_Area</vt:lpstr>
      <vt:lpstr>'61'!Print_Area</vt:lpstr>
      <vt:lpstr>'62a'!Print_Area</vt:lpstr>
      <vt:lpstr>'62b'!Print_Area</vt:lpstr>
      <vt:lpstr>'بورصة عمان'!Print_Area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CBJ\NS-27600</vt:lpwstr>
  </property>
  <property fmtid="{D5CDD505-2E9C-101B-9397-08002B2CF9AE}" pid="4" name="DLPManualFileClassificationLastModificationDate">
    <vt:lpwstr>1730631350</vt:lpwstr>
  </property>
  <property fmtid="{D5CDD505-2E9C-101B-9397-08002B2CF9AE}" pid="5" name="DLPManualFileClassificationVersion">
    <vt:lpwstr>11.10.100.17</vt:lpwstr>
  </property>
</Properties>
</file>