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3" sheetId="1" r:id="rId1"/>
  </sheets>
  <definedNames>
    <definedName name="_xlnm.Database">'3'!$N$17</definedName>
    <definedName name="_xlnm.Print_Area" localSheetId="0">'3'!$B$56:$R$106</definedName>
  </definedNames>
  <calcPr calcId="162913"/>
</workbook>
</file>

<file path=xl/calcChain.xml><?xml version="1.0" encoding="utf-8"?>
<calcChain xmlns="http://schemas.openxmlformats.org/spreadsheetml/2006/main">
  <c r="J101" i="1" l="1"/>
  <c r="C101" i="1"/>
  <c r="B101" i="1" s="1"/>
  <c r="J100" i="1" l="1"/>
  <c r="B100" i="1" s="1"/>
  <c r="C100" i="1"/>
  <c r="J99" i="1" l="1"/>
  <c r="B99" i="1" s="1"/>
  <c r="C99" i="1"/>
  <c r="J98" i="1" l="1"/>
  <c r="C98" i="1"/>
  <c r="B98" i="1"/>
  <c r="J102" i="1"/>
  <c r="C102" i="1"/>
  <c r="J97" i="1"/>
  <c r="C97" i="1"/>
  <c r="B97" i="1"/>
  <c r="C96" i="1"/>
  <c r="B96" i="1"/>
  <c r="J96" i="1"/>
  <c r="C95" i="1"/>
  <c r="J95" i="1"/>
  <c r="B95" i="1"/>
  <c r="F93" i="1"/>
  <c r="F94" i="1"/>
  <c r="E94" i="1"/>
  <c r="E93" i="1"/>
  <c r="C93" i="1"/>
  <c r="B93" i="1"/>
  <c r="D88" i="1"/>
  <c r="E87" i="1"/>
  <c r="C87" i="1"/>
  <c r="B87" i="1"/>
  <c r="E85" i="1"/>
  <c r="F88" i="1"/>
  <c r="F87" i="1"/>
  <c r="J94" i="1"/>
  <c r="J93" i="1"/>
  <c r="J92" i="1"/>
  <c r="D92" i="1"/>
  <c r="E92" i="1"/>
  <c r="F92" i="1"/>
  <c r="C92" i="1"/>
  <c r="B92" i="1"/>
  <c r="J91" i="1"/>
  <c r="F91" i="1"/>
  <c r="E91" i="1"/>
  <c r="C91" i="1"/>
  <c r="B91" i="1"/>
  <c r="D91" i="1"/>
  <c r="J90" i="1"/>
  <c r="F90" i="1"/>
  <c r="E90" i="1"/>
  <c r="C90" i="1"/>
  <c r="B90" i="1"/>
  <c r="F89" i="1"/>
  <c r="C89" i="1"/>
  <c r="B89" i="1"/>
  <c r="J89" i="1"/>
  <c r="E19" i="1"/>
  <c r="K19" i="1"/>
  <c r="J19" i="1"/>
  <c r="D19" i="1"/>
  <c r="E20" i="1"/>
  <c r="K20" i="1"/>
  <c r="J20" i="1"/>
  <c r="D20" i="1"/>
  <c r="E21" i="1"/>
  <c r="K21" i="1"/>
  <c r="J21" i="1"/>
  <c r="D21" i="1"/>
  <c r="E22" i="1"/>
  <c r="K22" i="1"/>
  <c r="J22" i="1"/>
  <c r="D22" i="1"/>
  <c r="E23" i="1"/>
  <c r="K23" i="1"/>
  <c r="J23" i="1"/>
  <c r="D23" i="1"/>
  <c r="E24" i="1"/>
  <c r="K24" i="1"/>
  <c r="J24" i="1"/>
  <c r="D24" i="1"/>
  <c r="E25" i="1"/>
  <c r="K25" i="1"/>
  <c r="J25" i="1"/>
  <c r="D25" i="1"/>
  <c r="E26" i="1"/>
  <c r="K26" i="1"/>
  <c r="J26" i="1"/>
  <c r="D26" i="1"/>
  <c r="E27" i="1"/>
  <c r="K27" i="1"/>
  <c r="J27" i="1"/>
  <c r="D27" i="1"/>
  <c r="E28" i="1"/>
  <c r="K28" i="1"/>
  <c r="J28" i="1"/>
  <c r="D28" i="1"/>
  <c r="E29" i="1"/>
  <c r="K29" i="1"/>
  <c r="J29" i="1"/>
  <c r="D29" i="1"/>
  <c r="E30" i="1"/>
  <c r="K30" i="1"/>
  <c r="J30" i="1"/>
  <c r="D30" i="1"/>
  <c r="E31" i="1"/>
  <c r="K31" i="1"/>
  <c r="J31" i="1"/>
  <c r="D31" i="1"/>
  <c r="E32" i="1"/>
  <c r="K32" i="1"/>
  <c r="J32" i="1"/>
  <c r="D32" i="1"/>
  <c r="E33" i="1"/>
  <c r="K33" i="1"/>
  <c r="J33" i="1"/>
  <c r="D33" i="1"/>
  <c r="E34" i="1"/>
  <c r="K34" i="1"/>
  <c r="J34" i="1"/>
  <c r="D34" i="1"/>
  <c r="E35" i="1"/>
  <c r="K35" i="1"/>
  <c r="J35" i="1"/>
  <c r="D35" i="1"/>
  <c r="E36" i="1"/>
  <c r="K36" i="1"/>
  <c r="J36" i="1"/>
  <c r="D36" i="1"/>
  <c r="E37" i="1"/>
  <c r="K37" i="1"/>
  <c r="J37" i="1"/>
  <c r="D37" i="1"/>
  <c r="E38" i="1"/>
  <c r="K38" i="1"/>
  <c r="J38" i="1"/>
  <c r="D38" i="1"/>
  <c r="E39" i="1"/>
  <c r="K39" i="1"/>
  <c r="J39" i="1"/>
  <c r="D39" i="1"/>
  <c r="E40" i="1"/>
  <c r="K40" i="1"/>
  <c r="J40" i="1"/>
  <c r="D40" i="1"/>
  <c r="E41" i="1"/>
  <c r="K41" i="1"/>
  <c r="J41" i="1"/>
  <c r="D41" i="1"/>
  <c r="E42" i="1"/>
  <c r="K42" i="1"/>
  <c r="J42" i="1"/>
  <c r="D42" i="1"/>
  <c r="E43" i="1"/>
  <c r="K43" i="1"/>
  <c r="J43" i="1"/>
  <c r="D43" i="1"/>
  <c r="E44" i="1"/>
  <c r="K44" i="1"/>
  <c r="J44" i="1"/>
  <c r="D44" i="1"/>
  <c r="E45" i="1"/>
  <c r="K45" i="1"/>
  <c r="J45" i="1"/>
  <c r="D45" i="1"/>
  <c r="E46" i="1"/>
  <c r="K46" i="1"/>
  <c r="J46" i="1"/>
  <c r="D46" i="1"/>
  <c r="E47" i="1"/>
  <c r="K47" i="1"/>
  <c r="J47" i="1"/>
  <c r="D47" i="1"/>
  <c r="D73" i="1"/>
  <c r="E73" i="1"/>
  <c r="C73" i="1"/>
  <c r="B73" i="1"/>
  <c r="F73" i="1"/>
  <c r="J73" i="1"/>
  <c r="D74" i="1"/>
  <c r="C74" i="1"/>
  <c r="B74" i="1"/>
  <c r="E74" i="1"/>
  <c r="F74" i="1"/>
  <c r="J74" i="1"/>
  <c r="D75" i="1"/>
  <c r="E75" i="1"/>
  <c r="F75" i="1"/>
  <c r="C75" i="1"/>
  <c r="B75" i="1"/>
  <c r="J75" i="1"/>
  <c r="D76" i="1"/>
  <c r="E76" i="1"/>
  <c r="F76" i="1"/>
  <c r="J76" i="1"/>
  <c r="D77" i="1"/>
  <c r="C77" i="1"/>
  <c r="B77" i="1"/>
  <c r="E77" i="1"/>
  <c r="F77" i="1"/>
  <c r="J77" i="1"/>
  <c r="C78" i="1"/>
  <c r="B78" i="1"/>
  <c r="J78" i="1"/>
  <c r="D79" i="1"/>
  <c r="E79" i="1"/>
  <c r="F79" i="1"/>
  <c r="C79" i="1"/>
  <c r="B79" i="1"/>
  <c r="J79" i="1"/>
  <c r="D80" i="1"/>
  <c r="E80" i="1"/>
  <c r="F80" i="1"/>
  <c r="C80" i="1"/>
  <c r="B80" i="1"/>
  <c r="J80" i="1"/>
  <c r="D81" i="1"/>
  <c r="E81" i="1"/>
  <c r="F81" i="1"/>
  <c r="C81" i="1"/>
  <c r="B81" i="1"/>
  <c r="J81" i="1"/>
  <c r="D82" i="1"/>
  <c r="E82" i="1"/>
  <c r="F82" i="1"/>
  <c r="C82" i="1"/>
  <c r="B82" i="1"/>
  <c r="J82" i="1"/>
  <c r="D83" i="1"/>
  <c r="C83" i="1"/>
  <c r="B83" i="1"/>
  <c r="E83" i="1"/>
  <c r="F83" i="1"/>
  <c r="J83" i="1"/>
  <c r="D84" i="1"/>
  <c r="E84" i="1"/>
  <c r="C84" i="1"/>
  <c r="B84" i="1"/>
  <c r="F84" i="1"/>
  <c r="J84" i="1"/>
  <c r="D85" i="1"/>
  <c r="F85" i="1"/>
  <c r="C85" i="1"/>
  <c r="B85" i="1"/>
  <c r="J85" i="1"/>
  <c r="C86" i="1"/>
  <c r="B86" i="1"/>
  <c r="J86" i="1"/>
  <c r="D87" i="1"/>
  <c r="J87" i="1"/>
  <c r="E88" i="1"/>
  <c r="C88" i="1"/>
  <c r="B88" i="1"/>
  <c r="J88" i="1"/>
  <c r="C76" i="1"/>
  <c r="B76" i="1"/>
  <c r="C94" i="1"/>
  <c r="B94" i="1"/>
  <c r="B102" i="1" l="1"/>
</calcChain>
</file>

<file path=xl/sharedStrings.xml><?xml version="1.0" encoding="utf-8"?>
<sst xmlns="http://schemas.openxmlformats.org/spreadsheetml/2006/main" count="218" uniqueCount="116">
  <si>
    <t xml:space="preserve"> </t>
  </si>
  <si>
    <t xml:space="preserve">Quasi-Money </t>
  </si>
  <si>
    <t>Demand Deposits</t>
  </si>
  <si>
    <t>عرض</t>
  </si>
  <si>
    <t>بلديات</t>
  </si>
  <si>
    <t>النقد</t>
  </si>
  <si>
    <t>ومؤسسات</t>
  </si>
  <si>
    <t>الخاص</t>
  </si>
  <si>
    <t>نهاية</t>
  </si>
  <si>
    <t>المجموع</t>
  </si>
  <si>
    <t>عامة</t>
  </si>
  <si>
    <t>المتداول</t>
  </si>
  <si>
    <t>الفترة</t>
  </si>
  <si>
    <t>Municipa-</t>
  </si>
  <si>
    <t>Money</t>
  </si>
  <si>
    <t>lities and</t>
  </si>
  <si>
    <t>Private</t>
  </si>
  <si>
    <t>Currency</t>
  </si>
  <si>
    <t xml:space="preserve">End of </t>
  </si>
  <si>
    <t>Supply</t>
  </si>
  <si>
    <t>Public</t>
  </si>
  <si>
    <t>Sector</t>
  </si>
  <si>
    <t xml:space="preserve">Period </t>
  </si>
  <si>
    <t>(M2)</t>
  </si>
  <si>
    <t>Total</t>
  </si>
  <si>
    <t>Entities</t>
  </si>
  <si>
    <t>(Resident)</t>
  </si>
  <si>
    <t>(M1)</t>
  </si>
  <si>
    <t>1988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</si>
  <si>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</si>
  <si>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</si>
  <si>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</si>
  <si>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</si>
  <si>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</si>
  <si>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</si>
  <si>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</si>
  <si>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</si>
  <si>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</si>
  <si>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</si>
  <si>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</si>
  <si>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</si>
  <si>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</si>
  <si>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</si>
  <si>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</si>
  <si>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</si>
  <si>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</si>
  <si>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</si>
  <si>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1989</t>
  </si>
  <si>
    <t>1990</t>
  </si>
  <si>
    <t>1991</t>
  </si>
  <si>
    <t>Quasi-Money</t>
  </si>
  <si>
    <t>مؤسسات</t>
  </si>
  <si>
    <t>مالية</t>
  </si>
  <si>
    <t>Financial</t>
  </si>
  <si>
    <t>Institutions</t>
  </si>
  <si>
    <t>ودائع تحت الطلب</t>
  </si>
  <si>
    <t>القطاع</t>
  </si>
  <si>
    <t>(مقيم)</t>
  </si>
  <si>
    <t>(ع1)</t>
  </si>
  <si>
    <t>شبه النقد</t>
  </si>
  <si>
    <t>(ع2)</t>
  </si>
  <si>
    <t>ودائع تحت الطلب بالدينار الاردني</t>
  </si>
  <si>
    <t xml:space="preserve">القطاع </t>
  </si>
  <si>
    <t>ودائع تحت الطلب بالعملات الاجنبية</t>
  </si>
  <si>
    <t>2000</t>
  </si>
  <si>
    <t>2001</t>
  </si>
  <si>
    <t>2002</t>
  </si>
  <si>
    <t>2003</t>
  </si>
  <si>
    <t>ودائع التوفير ولاجل ( بالدينار والعملات الاجنبية)</t>
  </si>
  <si>
    <t xml:space="preserve"> مليون  دينار</t>
  </si>
  <si>
    <t xml:space="preserve"> Foreign Currencies</t>
  </si>
  <si>
    <t xml:space="preserve">Demand Deposits in </t>
  </si>
  <si>
    <t>Jordan Dinar</t>
  </si>
  <si>
    <t xml:space="preserve">JD Million </t>
  </si>
  <si>
    <t xml:space="preserve"> Demand Deposits in </t>
  </si>
  <si>
    <t xml:space="preserve"> Time and Saving Deposits 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</si>
  <si>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</si>
  <si>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</si>
  <si>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</si>
  <si>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</si>
  <si>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</si>
  <si>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</si>
  <si>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</si>
  <si>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</si>
  <si>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</si>
  <si>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</si>
  <si>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جدول رقم (4)  : عرض النقــــــــــــــد</t>
  </si>
  <si>
    <t>TABLE NO. (4) : MONEY SUPPLY</t>
  </si>
  <si>
    <t>TABLE NO. (4) : MONEY SUPPLY (CONTINUED)</t>
  </si>
  <si>
    <t>جدول رقم (4)  : عرض النقــــــــــــــد (تابع)</t>
  </si>
  <si>
    <t xml:space="preserve">in  </t>
  </si>
  <si>
    <t>Circulation</t>
  </si>
  <si>
    <t xml:space="preserve">            Definitions of Monetary Sectors.</t>
  </si>
  <si>
    <t xml:space="preserve"> (4)  :  تم اعادة تصنيف حسابات مؤسسات القطاع العام.</t>
  </si>
  <si>
    <t xml:space="preserve">   (4)  :  Public Sector Accounts were Reclassified.</t>
  </si>
  <si>
    <t xml:space="preserve">  ويطرح النقد في الصندوق لدى مؤسسات الاقراض المتخصصة والمؤسسات المالية الاخرى وودائع مؤسسات</t>
  </si>
  <si>
    <t xml:space="preserve">  الاقراض الجارية لدى البنك المركزي .</t>
  </si>
  <si>
    <t xml:space="preserve">(1)  :  M11=M1+ Demand Deposits with Specialized Credit Institutions and Other Financial </t>
  </si>
  <si>
    <t xml:space="preserve">(1)  : ع11= ع1 + ودائع تحت الطلب لدى مؤسسات الاقراض المتخصصة والمؤسسات المالية الأخرى   </t>
  </si>
  <si>
    <t xml:space="preserve">(2) :ع22=ع11+ شبه النقد + ودائع التوفيرولأجل لدى مؤسسات الاقراض المتخصصة والمؤسسات المالية الاخرى </t>
  </si>
  <si>
    <t xml:space="preserve"> (in JD &amp; Foreign Currencies)</t>
  </si>
  <si>
    <t xml:space="preserve"> (3)  :  تم اعادة تصنيف البيانات اعتبارا من كانون اول 1993  </t>
  </si>
  <si>
    <t xml:space="preserve">           بموجب تعاريف جديدة للقطاعات النقدية.</t>
  </si>
  <si>
    <t xml:space="preserve">   (3)  :  Effective December 1993, Data were Reclassified According to New  </t>
  </si>
  <si>
    <r>
      <rPr>
        <vertAlign val="superscript"/>
        <sz val="16"/>
        <rFont val="Times New Roman"/>
        <family val="1"/>
      </rPr>
      <t>(2)</t>
    </r>
    <r>
      <rPr>
        <sz val="16"/>
        <rFont val="Times New Roman"/>
        <family val="1"/>
      </rPr>
      <t>(ع22)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</si>
  <si>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(ع11)</t>
    </r>
  </si>
  <si>
    <r>
      <t>(M22)</t>
    </r>
    <r>
      <rPr>
        <vertAlign val="superscript"/>
        <sz val="16"/>
        <rFont val="Times New Roman"/>
        <family val="1"/>
      </rPr>
      <t>(2)</t>
    </r>
  </si>
  <si>
    <r>
      <t>(M11)</t>
    </r>
    <r>
      <rPr>
        <vertAlign val="superscript"/>
        <sz val="16"/>
        <rFont val="Times New Roman"/>
        <family val="1"/>
      </rPr>
      <t>(1)</t>
    </r>
  </si>
  <si>
    <r>
      <t xml:space="preserve">Institutions </t>
    </r>
    <r>
      <rPr>
        <i/>
        <sz val="14"/>
        <rFont val="Times New Roman"/>
        <family val="1"/>
      </rPr>
      <t>minus</t>
    </r>
    <r>
      <rPr>
        <sz val="14"/>
        <rFont val="Times New Roman"/>
        <family val="1"/>
      </rPr>
      <t xml:space="preserve"> Cash with Specialized Credit Institutions and Other Financial Institutions</t>
    </r>
  </si>
  <si>
    <r>
      <rPr>
        <i/>
        <sz val="14"/>
        <rFont val="Times New Roman"/>
        <family val="1"/>
      </rPr>
      <t>minus</t>
    </r>
    <r>
      <rPr>
        <sz val="14"/>
        <rFont val="Times New Roman"/>
        <family val="1"/>
      </rPr>
      <t xml:space="preserve"> Demand Deposits of Specialized Credit Institiutions with the Central Bank.</t>
    </r>
  </si>
  <si>
    <r>
      <t>(3)</t>
    </r>
    <r>
      <rPr>
        <sz val="16"/>
        <rFont val="Times New Roman"/>
        <family val="1"/>
      </rPr>
      <t>1993</t>
    </r>
  </si>
  <si>
    <r>
      <t>(4)</t>
    </r>
    <r>
      <rPr>
        <sz val="16"/>
        <rFont val="Times New Roman"/>
        <family val="1"/>
      </rPr>
      <t>1998</t>
    </r>
  </si>
  <si>
    <t xml:space="preserve">   وصندوق توفير البريد ويطرح ودائع مؤسسات الاقراض الخاضعة لدى البنك المركزي.</t>
  </si>
  <si>
    <t xml:space="preserve">(2)  :  M22=M11+ Quasi Money + Saving and Time Deposits with Specialized Credit Institutions, </t>
  </si>
  <si>
    <t>of Specialized Credit Institutions with the central bank.</t>
  </si>
  <si>
    <r>
      <t xml:space="preserve">Other Financial Institutions and Postal Bank </t>
    </r>
    <r>
      <rPr>
        <i/>
        <sz val="14"/>
        <rFont val="Times New Roman"/>
        <family val="1"/>
      </rPr>
      <t>minus</t>
    </r>
    <r>
      <rPr>
        <sz val="14"/>
        <rFont val="Times New Roman"/>
        <family val="1"/>
      </rPr>
      <t xml:space="preserve"> Time Deposits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</si>
</sst>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9">
    <font>
      <sz val="10"/>
      <name val="Geneva"/>
      <charset val="178"/>
    </font>
    <font>
      <sz val="14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16"/>
      <name val="Times New Roman (Arabic)"/>
      <family val="1"/>
      <charset val="178"/>
    </font>
    <font>
      <sz val="15"/>
      <name val="Times New Roman (Arabic)"/>
      <family val="1"/>
      <charset val="178"/>
    </font>
    <font>
      <b/>
      <sz val="16"/>
      <color indexed="8"/>
      <name val="Times New Roman (Arabic)"/>
      <family val="1"/>
      <charset val="178"/>
    </font>
    <font>
      <sz val="16"/>
      <color indexed="8"/>
      <name val="Times New Roman (Arabic)"/>
      <family val="1"/>
      <charset val="178"/>
    </font>
    <font>
      <b/>
      <shadow/>
      <sz val="20"/>
      <name val="Times New Roman"/>
      <family val="1"/>
    </font>
    <font>
      <sz val="13"/>
      <name val="Times New Roman (Arabic)"/>
      <family val="1"/>
      <charset val="178"/>
    </font>
    <font>
      <sz val="10"/>
      <name val="Times New Roman (Arabic)"/>
      <family val="1"/>
      <charset val="178"/>
    </font>
    <font>
      <sz val="16"/>
      <name val="Times New Roman"/>
      <family val="1"/>
    </font>
    <font>
      <sz val="14"/>
      <name val="Times New Roman"/>
      <family val="1"/>
    </font>
    <font>
      <vertAlign val="superscript"/>
      <sz val="16"/>
      <name val="Times New Roman"/>
      <family val="1"/>
    </font>
    <font>
      <i/>
      <sz val="14"/>
      <name val="Times New Roman"/>
      <family val="1"/>
    </font>
    <font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i/>
      <sz val="14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indexed="12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b/>
      <shadow/>
      <sz val="20"/>
      <name val="Cambria"/>
      <family val="1"/>
      <scheme val="major"/>
    </font>
    <font>
      <b/>
      <sz val="18"/>
      <name val="Cambria"/>
      <family val="1"/>
      <scheme val="major"/>
    </font>
    <font>
      <vertAlign val="superscript"/>
      <sz val="14"/>
      <name val="Cambria"/>
      <family val="1"/>
      <scheme val="major"/>
    </font>
    <font>
      <vertAlign val="superscript"/>
      <sz val="16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1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 applyFill="1" applyBorder="1"/>
    <xf numFmtId="0" fontId="4" fillId="0" borderId="0" xfId="0" applyFont="1" applyAlignment="1">
      <alignment vertical="center"/>
    </xf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2" fillId="0" borderId="0" xfId="0" applyFont="1"/>
    <xf numFmtId="0" fontId="2" fillId="0" borderId="0" xfId="0" applyFont="1" applyBorder="1"/>
    <xf numFmtId="16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/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readingOrder="2"/>
    </xf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" fontId="7" fillId="0" borderId="0" xfId="0" applyNumberFormat="1" applyFont="1" applyFill="1"/>
    <xf numFmtId="1" fontId="4" fillId="0" borderId="0" xfId="0" applyNumberFormat="1" applyFont="1" applyFill="1"/>
    <xf numFmtId="1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3" fillId="0" borderId="0" xfId="0" applyFont="1" applyFill="1"/>
    <xf numFmtId="164" fontId="3" fillId="0" borderId="0" xfId="0" applyNumberFormat="1" applyFont="1" applyFill="1"/>
    <xf numFmtId="1" fontId="6" fillId="0" borderId="1" xfId="0" applyNumberFormat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quotePrefix="1" applyFont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4" fontId="4" fillId="0" borderId="0" xfId="0" applyNumberFormat="1" applyFont="1" applyFill="1"/>
    <xf numFmtId="164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right" readingOrder="2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/>
    <xf numFmtId="0" fontId="21" fillId="0" borderId="0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21" fillId="5" borderId="9" xfId="0" applyFont="1" applyFill="1" applyBorder="1"/>
    <xf numFmtId="0" fontId="15" fillId="5" borderId="10" xfId="0" applyFont="1" applyFill="1" applyBorder="1"/>
    <xf numFmtId="0" fontId="15" fillId="5" borderId="11" xfId="0" applyFont="1" applyFill="1" applyBorder="1"/>
    <xf numFmtId="0" fontId="21" fillId="5" borderId="4" xfId="0" applyFont="1" applyFill="1" applyBorder="1"/>
    <xf numFmtId="0" fontId="15" fillId="5" borderId="1" xfId="0" applyFont="1" applyFill="1" applyBorder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21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Continuous" vertical="center"/>
    </xf>
    <xf numFmtId="0" fontId="15" fillId="5" borderId="14" xfId="0" applyFont="1" applyFill="1" applyBorder="1" applyAlignment="1">
      <alignment horizontal="centerContinuous" vertical="center"/>
    </xf>
    <xf numFmtId="0" fontId="15" fillId="5" borderId="0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Continuous" vertical="center"/>
    </xf>
    <xf numFmtId="0" fontId="21" fillId="5" borderId="12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0" fontId="15" fillId="5" borderId="0" xfId="0" applyNumberFormat="1" applyFont="1" applyFill="1" applyBorder="1" applyAlignment="1">
      <alignment horizontal="center" vertical="center"/>
    </xf>
    <xf numFmtId="0" fontId="21" fillId="5" borderId="5" xfId="0" applyNumberFormat="1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Continuous" vertical="center"/>
    </xf>
    <xf numFmtId="0" fontId="15" fillId="5" borderId="16" xfId="0" applyFont="1" applyFill="1" applyBorder="1" applyAlignment="1">
      <alignment horizontal="centerContinuous" vertical="center"/>
    </xf>
    <xf numFmtId="0" fontId="21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Continuous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Continuous" vertical="center"/>
    </xf>
    <xf numFmtId="164" fontId="15" fillId="2" borderId="0" xfId="0" applyNumberFormat="1" applyFont="1" applyFill="1" applyBorder="1" applyAlignment="1">
      <alignment horizontal="centerContinuous" vertical="center"/>
    </xf>
    <xf numFmtId="164" fontId="21" fillId="2" borderId="0" xfId="0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Continuous" vertical="center"/>
    </xf>
    <xf numFmtId="164" fontId="15" fillId="2" borderId="14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Continuous" vertical="center"/>
    </xf>
    <xf numFmtId="164" fontId="15" fillId="6" borderId="0" xfId="0" applyNumberFormat="1" applyFont="1" applyFill="1" applyBorder="1" applyAlignment="1">
      <alignment horizontal="centerContinuous" vertical="center"/>
    </xf>
    <xf numFmtId="164" fontId="21" fillId="6" borderId="0" xfId="0" applyNumberFormat="1" applyFont="1" applyFill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/>
    </xf>
    <xf numFmtId="164" fontId="15" fillId="6" borderId="0" xfId="0" applyNumberFormat="1" applyFont="1" applyFill="1" applyAlignment="1">
      <alignment horizontal="centerContinuous" vertical="center"/>
    </xf>
    <xf numFmtId="164" fontId="15" fillId="6" borderId="1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Continuous" vertical="center"/>
    </xf>
    <xf numFmtId="164" fontId="15" fillId="2" borderId="7" xfId="0" applyNumberFormat="1" applyFont="1" applyFill="1" applyBorder="1" applyAlignment="1">
      <alignment horizontal="centerContinuous" vertical="center"/>
    </xf>
    <xf numFmtId="164" fontId="21" fillId="2" borderId="7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21" fillId="3" borderId="7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vertical="center"/>
    </xf>
    <xf numFmtId="0" fontId="21" fillId="3" borderId="7" xfId="0" quotePrefix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64" fontId="21" fillId="0" borderId="7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right" vertical="center"/>
    </xf>
    <xf numFmtId="164" fontId="21" fillId="0" borderId="0" xfId="0" applyNumberFormat="1" applyFont="1" applyBorder="1" applyAlignment="1">
      <alignment vertical="center"/>
    </xf>
    <xf numFmtId="0" fontId="21" fillId="0" borderId="0" xfId="0" quotePrefix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1" fillId="5" borderId="2" xfId="0" applyFont="1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vertical="center"/>
    </xf>
    <xf numFmtId="0" fontId="21" fillId="5" borderId="10" xfId="0" quotePrefix="1" applyFont="1" applyFill="1" applyBorder="1" applyAlignment="1">
      <alignment horizontal="right" vertical="center"/>
    </xf>
    <xf numFmtId="0" fontId="15" fillId="5" borderId="3" xfId="0" quotePrefix="1" applyFont="1" applyFill="1" applyBorder="1" applyAlignment="1">
      <alignment horizontal="left" vertical="center"/>
    </xf>
    <xf numFmtId="0" fontId="21" fillId="5" borderId="21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1" fillId="5" borderId="10" xfId="0" applyFont="1" applyFill="1" applyBorder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centerContinuous" vertical="center"/>
    </xf>
    <xf numFmtId="0" fontId="21" fillId="5" borderId="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4" xfId="0" quotePrefix="1" applyFont="1" applyFill="1" applyBorder="1" applyAlignment="1">
      <alignment horizontal="centerContinuous" vertical="center"/>
    </xf>
    <xf numFmtId="0" fontId="15" fillId="5" borderId="22" xfId="0" applyFont="1" applyFill="1" applyBorder="1" applyAlignment="1">
      <alignment horizontal="centerContinuous" vertical="center" readingOrder="2"/>
    </xf>
    <xf numFmtId="0" fontId="15" fillId="5" borderId="23" xfId="0" applyFont="1" applyFill="1" applyBorder="1" applyAlignment="1">
      <alignment horizontal="centerContinuous" vertical="center" readingOrder="2"/>
    </xf>
    <xf numFmtId="0" fontId="15" fillId="5" borderId="23" xfId="0" applyFont="1" applyFill="1" applyBorder="1" applyAlignment="1">
      <alignment horizontal="centerContinuous" vertical="center"/>
    </xf>
    <xf numFmtId="0" fontId="15" fillId="5" borderId="24" xfId="0" applyFont="1" applyFill="1" applyBorder="1" applyAlignment="1">
      <alignment horizontal="centerContinuous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centerContinuous" vertical="center"/>
    </xf>
    <xf numFmtId="0" fontId="21" fillId="5" borderId="26" xfId="0" applyFont="1" applyFill="1" applyBorder="1" applyAlignment="1">
      <alignment horizontal="center" vertical="center"/>
    </xf>
    <xf numFmtId="164" fontId="21" fillId="4" borderId="1" xfId="0" applyNumberFormat="1" applyFont="1" applyFill="1" applyBorder="1" applyAlignment="1">
      <alignment horizontal="center" vertical="center"/>
    </xf>
    <xf numFmtId="164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horizontal="center" vertical="center"/>
    </xf>
    <xf numFmtId="164" fontId="21" fillId="4" borderId="0" xfId="0" applyNumberFormat="1" applyFont="1" applyFill="1" applyBorder="1" applyAlignment="1">
      <alignment horizontal="center" vertical="center"/>
    </xf>
    <xf numFmtId="164" fontId="15" fillId="4" borderId="14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164" fontId="15" fillId="6" borderId="0" xfId="0" applyNumberFormat="1" applyFont="1" applyFill="1" applyAlignment="1">
      <alignment vertical="center"/>
    </xf>
    <xf numFmtId="164" fontId="15" fillId="6" borderId="0" xfId="0" applyNumberFormat="1" applyFont="1" applyFill="1" applyBorder="1" applyAlignment="1">
      <alignment horizontal="center" vertical="center"/>
    </xf>
    <xf numFmtId="164" fontId="21" fillId="6" borderId="0" xfId="0" applyNumberFormat="1" applyFont="1" applyFill="1" applyBorder="1" applyAlignment="1">
      <alignment horizontal="center" vertical="center"/>
    </xf>
    <xf numFmtId="164" fontId="15" fillId="6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/>
    <xf numFmtId="0" fontId="22" fillId="0" borderId="0" xfId="0" applyFont="1"/>
    <xf numFmtId="0" fontId="23" fillId="0" borderId="0" xfId="0" applyFont="1"/>
    <xf numFmtId="164" fontId="22" fillId="0" borderId="0" xfId="0" applyNumberFormat="1" applyFont="1"/>
    <xf numFmtId="0" fontId="22" fillId="0" borderId="0" xfId="0" applyFont="1" applyFill="1" applyBorder="1"/>
    <xf numFmtId="0" fontId="22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/>
    </xf>
    <xf numFmtId="0" fontId="22" fillId="0" borderId="0" xfId="0" applyFont="1" applyBorder="1" applyAlignment="1">
      <alignment horizontal="right" readingOrder="2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5" borderId="27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Border="1" applyAlignment="1"/>
    <xf numFmtId="164" fontId="17" fillId="0" borderId="0" xfId="0" applyNumberFormat="1" applyFont="1"/>
    <xf numFmtId="0" fontId="17" fillId="0" borderId="0" xfId="0" applyFont="1" applyFill="1" applyBorder="1"/>
    <xf numFmtId="0" fontId="17" fillId="0" borderId="0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 applyAlignment="1">
      <alignment horizontal="right" readingOrder="2"/>
    </xf>
    <xf numFmtId="0" fontId="17" fillId="0" borderId="0" xfId="0" applyFont="1" applyFill="1"/>
    <xf numFmtId="164" fontId="17" fillId="0" borderId="0" xfId="0" applyNumberFormat="1" applyFont="1" applyFill="1"/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5" fillId="6" borderId="0" xfId="0" quotePrefix="1" applyFont="1" applyFill="1" applyBorder="1" applyAlignment="1">
      <alignment horizontal="center" vertical="center"/>
    </xf>
    <xf numFmtId="0" fontId="15" fillId="6" borderId="5" xfId="0" quotePrefix="1" applyFont="1" applyFill="1" applyBorder="1" applyAlignment="1">
      <alignment horizontal="center" vertical="center"/>
    </xf>
    <xf numFmtId="0" fontId="15" fillId="4" borderId="7" xfId="0" quotePrefix="1" applyFont="1" applyFill="1" applyBorder="1" applyAlignment="1">
      <alignment horizontal="center" vertical="center"/>
    </xf>
    <xf numFmtId="0" fontId="15" fillId="4" borderId="8" xfId="0" quotePrefix="1" applyFont="1" applyFill="1" applyBorder="1" applyAlignment="1">
      <alignment horizontal="center" vertical="center"/>
    </xf>
    <xf numFmtId="0" fontId="15" fillId="4" borderId="0" xfId="0" quotePrefix="1" applyFont="1" applyFill="1" applyBorder="1" applyAlignment="1">
      <alignment horizontal="center" vertical="center"/>
    </xf>
    <xf numFmtId="0" fontId="15" fillId="4" borderId="5" xfId="0" quotePrefix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15" fillId="4" borderId="13" xfId="0" quotePrefix="1" applyFont="1" applyFill="1" applyBorder="1" applyAlignment="1">
      <alignment horizontal="center" vertical="center"/>
    </xf>
    <xf numFmtId="0" fontId="15" fillId="4" borderId="15" xfId="0" quotePrefix="1" applyFont="1" applyFill="1" applyBorder="1" applyAlignment="1">
      <alignment horizontal="center" vertical="center"/>
    </xf>
    <xf numFmtId="0" fontId="15" fillId="6" borderId="13" xfId="0" quotePrefix="1" applyFont="1" applyFill="1" applyBorder="1" applyAlignment="1">
      <alignment horizontal="center" vertical="center"/>
    </xf>
    <xf numFmtId="0" fontId="15" fillId="6" borderId="15" xfId="0" quotePrefix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165" fontId="15" fillId="5" borderId="14" xfId="0" applyNumberFormat="1" applyFont="1" applyFill="1" applyBorder="1" applyAlignment="1">
      <alignment horizontal="center" vertical="center"/>
    </xf>
    <xf numFmtId="165" fontId="15" fillId="5" borderId="12" xfId="0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 readingOrder="2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readingOrder="2"/>
    </xf>
    <xf numFmtId="0" fontId="27" fillId="4" borderId="0" xfId="0" quotePrefix="1" applyFont="1" applyFill="1" applyBorder="1" applyAlignment="1">
      <alignment horizontal="center" vertical="center"/>
    </xf>
    <xf numFmtId="0" fontId="28" fillId="4" borderId="0" xfId="0" quotePrefix="1" applyFont="1" applyFill="1" applyBorder="1" applyAlignment="1">
      <alignment horizontal="center" vertical="center"/>
    </xf>
    <xf numFmtId="0" fontId="28" fillId="4" borderId="5" xfId="0" quotePrefix="1" applyFont="1" applyFill="1" applyBorder="1" applyAlignment="1">
      <alignment horizontal="center" vertical="center"/>
    </xf>
    <xf numFmtId="164" fontId="21" fillId="6" borderId="6" xfId="0" applyNumberFormat="1" applyFont="1" applyFill="1" applyBorder="1" applyAlignment="1">
      <alignment horizontal="center" vertical="center"/>
    </xf>
    <xf numFmtId="164" fontId="15" fillId="6" borderId="7" xfId="0" applyNumberFormat="1" applyFont="1" applyFill="1" applyBorder="1" applyAlignment="1">
      <alignment vertical="center"/>
    </xf>
    <xf numFmtId="164" fontId="15" fillId="6" borderId="7" xfId="0" applyNumberFormat="1" applyFont="1" applyFill="1" applyBorder="1" applyAlignment="1">
      <alignment horizontal="center" vertical="center"/>
    </xf>
    <xf numFmtId="164" fontId="21" fillId="6" borderId="7" xfId="0" applyNumberFormat="1" applyFont="1" applyFill="1" applyBorder="1" applyAlignment="1">
      <alignment horizontal="center" vertical="center"/>
    </xf>
    <xf numFmtId="164" fontId="15" fillId="6" borderId="20" xfId="0" applyNumberFormat="1" applyFont="1" applyFill="1" applyBorder="1" applyAlignment="1">
      <alignment horizontal="center" vertical="center"/>
    </xf>
    <xf numFmtId="0" fontId="15" fillId="6" borderId="7" xfId="0" quotePrefix="1" applyFont="1" applyFill="1" applyBorder="1" applyAlignment="1">
      <alignment horizontal="center" vertical="center"/>
    </xf>
    <xf numFmtId="0" fontId="15" fillId="6" borderId="8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6"/>
  <sheetViews>
    <sheetView tabSelected="1" topLeftCell="A56" zoomScale="75" zoomScaleNormal="75" workbookViewId="0">
      <selection activeCell="V62" sqref="V62"/>
    </sheetView>
  </sheetViews>
  <sheetFormatPr defaultColWidth="11.42578125" defaultRowHeight="20.25"/>
  <cols>
    <col min="1" max="1" width="11.42578125" style="15" customWidth="1"/>
    <col min="2" max="2" width="14.5703125" style="4" customWidth="1"/>
    <col min="3" max="3" width="13" style="4" customWidth="1"/>
    <col min="4" max="5" width="14.42578125" style="4" customWidth="1"/>
    <col min="6" max="6" width="22" style="4" customWidth="1"/>
    <col min="7" max="7" width="13.42578125" style="4" customWidth="1"/>
    <col min="8" max="8" width="9.85546875" style="4" customWidth="1"/>
    <col min="9" max="9" width="14.140625" style="4" customWidth="1"/>
    <col min="10" max="10" width="15.140625" style="4" customWidth="1"/>
    <col min="11" max="11" width="14.140625" style="4" customWidth="1"/>
    <col min="12" max="12" width="18" style="4" customWidth="1"/>
    <col min="13" max="13" width="13.5703125" style="4" customWidth="1"/>
    <col min="14" max="14" width="17.28515625" style="4" customWidth="1"/>
    <col min="15" max="15" width="4.42578125" style="5" customWidth="1"/>
    <col min="16" max="16" width="8.85546875" style="5" customWidth="1"/>
    <col min="17" max="17" width="4.85546875" style="4" customWidth="1"/>
    <col min="18" max="18" width="1.140625" style="4" customWidth="1"/>
    <col min="19" max="19" width="0.7109375" style="15" customWidth="1"/>
    <col min="20" max="20" width="13.140625" style="15" bestFit="1" customWidth="1"/>
    <col min="21" max="16384" width="11.42578125" style="15"/>
  </cols>
  <sheetData>
    <row r="1" spans="1:25" ht="14.1" customHeight="1">
      <c r="B1" s="15"/>
      <c r="I1" s="6"/>
      <c r="J1" s="8"/>
      <c r="O1" s="7"/>
      <c r="Q1" s="5"/>
      <c r="R1" s="5"/>
    </row>
    <row r="2" spans="1:25" ht="14.1" customHeight="1">
      <c r="B2" s="15"/>
      <c r="G2" s="17"/>
      <c r="I2" s="6"/>
      <c r="J2" s="8"/>
      <c r="O2" s="7"/>
      <c r="Q2" s="5"/>
      <c r="R2" s="5"/>
    </row>
    <row r="3" spans="1:25" s="25" customFormat="1" ht="28.35" customHeight="1">
      <c r="B3" s="192" t="s">
        <v>86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T3" s="18"/>
    </row>
    <row r="4" spans="1:25" s="25" customFormat="1" ht="28.35" customHeight="1">
      <c r="B4" s="193" t="s">
        <v>87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T4" s="16"/>
      <c r="U4" s="16"/>
      <c r="V4" s="16"/>
      <c r="W4" s="16"/>
      <c r="X4" s="16"/>
      <c r="Y4" s="16"/>
    </row>
    <row r="5" spans="1:25" s="26" customFormat="1" ht="17.100000000000001" customHeight="1">
      <c r="B5" s="48" t="s">
        <v>73</v>
      </c>
      <c r="C5" s="49"/>
      <c r="D5" s="49"/>
      <c r="E5" s="49"/>
      <c r="F5" s="49"/>
      <c r="G5" s="49"/>
      <c r="H5" s="50"/>
      <c r="I5" s="51"/>
      <c r="J5" s="50"/>
      <c r="K5" s="50"/>
      <c r="L5" s="52"/>
      <c r="M5" s="53"/>
      <c r="N5" s="54"/>
      <c r="O5" s="55"/>
      <c r="P5" s="50"/>
      <c r="Q5" s="56" t="s">
        <v>69</v>
      </c>
      <c r="R5" s="57"/>
      <c r="T5" s="1"/>
      <c r="U5" s="1"/>
      <c r="V5" s="1"/>
      <c r="W5" s="1"/>
      <c r="X5" s="1"/>
      <c r="Y5" s="1"/>
    </row>
    <row r="6" spans="1:25" s="9" customFormat="1" ht="4.3499999999999996" customHeight="1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25" ht="21.2" customHeight="1">
      <c r="B7" s="60"/>
      <c r="C7" s="61"/>
      <c r="D7" s="62"/>
      <c r="E7" s="198" t="s">
        <v>59</v>
      </c>
      <c r="F7" s="198"/>
      <c r="G7" s="198"/>
      <c r="H7" s="63"/>
      <c r="I7" s="64"/>
      <c r="J7" s="62"/>
      <c r="K7" s="198" t="s">
        <v>55</v>
      </c>
      <c r="L7" s="198"/>
      <c r="M7" s="198"/>
      <c r="N7" s="62"/>
      <c r="O7" s="61"/>
      <c r="P7" s="61"/>
      <c r="Q7" s="61"/>
      <c r="R7" s="65"/>
      <c r="T7" s="9"/>
      <c r="U7" s="9"/>
      <c r="V7" s="9"/>
      <c r="W7" s="9"/>
      <c r="X7" s="9"/>
      <c r="Y7" s="9"/>
    </row>
    <row r="8" spans="1:25" s="18" customFormat="1" ht="21.2" customHeight="1">
      <c r="B8" s="66"/>
      <c r="C8" s="67"/>
      <c r="D8" s="68"/>
      <c r="E8" s="199"/>
      <c r="F8" s="199"/>
      <c r="G8" s="199"/>
      <c r="H8" s="69"/>
      <c r="I8" s="70"/>
      <c r="J8" s="68"/>
      <c r="K8" s="199"/>
      <c r="L8" s="199"/>
      <c r="M8" s="199"/>
      <c r="N8" s="68" t="s">
        <v>0</v>
      </c>
      <c r="O8" s="71"/>
      <c r="P8" s="71"/>
      <c r="Q8" s="71" t="s">
        <v>0</v>
      </c>
      <c r="R8" s="72"/>
      <c r="T8" s="19"/>
      <c r="U8" s="19"/>
      <c r="V8" s="19"/>
      <c r="W8" s="19"/>
      <c r="X8" s="19"/>
      <c r="Y8" s="19"/>
    </row>
    <row r="9" spans="1:25" s="18" customFormat="1" ht="21.2" customHeight="1">
      <c r="A9" s="18" t="s">
        <v>0</v>
      </c>
      <c r="B9" s="66"/>
      <c r="C9" s="67"/>
      <c r="D9" s="68"/>
      <c r="E9" s="199" t="s">
        <v>1</v>
      </c>
      <c r="F9" s="199"/>
      <c r="G9" s="199"/>
      <c r="H9" s="69"/>
      <c r="I9" s="70"/>
      <c r="J9" s="68"/>
      <c r="K9" s="199" t="s">
        <v>2</v>
      </c>
      <c r="L9" s="199"/>
      <c r="M9" s="199"/>
      <c r="N9" s="68"/>
      <c r="O9" s="71"/>
      <c r="P9" s="71"/>
      <c r="Q9" s="71"/>
      <c r="R9" s="72"/>
      <c r="T9" s="19"/>
      <c r="U9" s="19"/>
      <c r="V9" s="19"/>
      <c r="W9" s="19"/>
      <c r="X9" s="19"/>
      <c r="Y9" s="19"/>
    </row>
    <row r="10" spans="1:25" s="18" customFormat="1" ht="21.2" customHeight="1">
      <c r="B10" s="66"/>
      <c r="C10" s="67"/>
      <c r="D10" s="68"/>
      <c r="E10" s="200"/>
      <c r="F10" s="200"/>
      <c r="G10" s="200"/>
      <c r="H10" s="69"/>
      <c r="I10" s="70"/>
      <c r="J10" s="68" t="s">
        <v>0</v>
      </c>
      <c r="K10" s="200"/>
      <c r="L10" s="200"/>
      <c r="M10" s="200"/>
      <c r="N10" s="68"/>
      <c r="O10" s="71"/>
      <c r="P10" s="71"/>
      <c r="Q10" s="71"/>
      <c r="R10" s="72"/>
      <c r="T10" s="19"/>
      <c r="U10" s="19"/>
      <c r="V10" s="19"/>
      <c r="W10" s="19"/>
      <c r="X10" s="19"/>
      <c r="Y10" s="19"/>
    </row>
    <row r="11" spans="1:25" s="18" customFormat="1" ht="21.2" customHeight="1">
      <c r="B11" s="66" t="s">
        <v>3</v>
      </c>
      <c r="C11" s="67"/>
      <c r="D11" s="68" t="s">
        <v>3</v>
      </c>
      <c r="E11" s="73"/>
      <c r="F11" s="73" t="s">
        <v>4</v>
      </c>
      <c r="G11" s="73" t="s">
        <v>56</v>
      </c>
      <c r="H11" s="69" t="s">
        <v>3</v>
      </c>
      <c r="I11" s="70"/>
      <c r="J11" s="68" t="s">
        <v>3</v>
      </c>
      <c r="K11" s="73"/>
      <c r="L11" s="73" t="s">
        <v>4</v>
      </c>
      <c r="M11" s="73" t="s">
        <v>56</v>
      </c>
      <c r="N11" s="73" t="s">
        <v>0</v>
      </c>
      <c r="O11" s="71"/>
      <c r="P11" s="71"/>
      <c r="Q11" s="71" t="s">
        <v>0</v>
      </c>
      <c r="R11" s="72"/>
      <c r="T11" s="19"/>
      <c r="U11" s="19"/>
      <c r="V11" s="19"/>
      <c r="W11" s="19"/>
      <c r="X11" s="19"/>
      <c r="Y11" s="19"/>
    </row>
    <row r="12" spans="1:25" s="18" customFormat="1" ht="21.2" customHeight="1">
      <c r="B12" s="66" t="s">
        <v>5</v>
      </c>
      <c r="C12" s="67"/>
      <c r="D12" s="68" t="s">
        <v>5</v>
      </c>
      <c r="E12" s="73"/>
      <c r="F12" s="73" t="s">
        <v>6</v>
      </c>
      <c r="G12" s="73" t="s">
        <v>7</v>
      </c>
      <c r="H12" s="69" t="s">
        <v>5</v>
      </c>
      <c r="I12" s="70"/>
      <c r="J12" s="68" t="s">
        <v>5</v>
      </c>
      <c r="K12" s="73"/>
      <c r="L12" s="73" t="s">
        <v>6</v>
      </c>
      <c r="M12" s="73" t="s">
        <v>7</v>
      </c>
      <c r="N12" s="73" t="s">
        <v>5</v>
      </c>
      <c r="O12" s="67" t="s">
        <v>8</v>
      </c>
      <c r="P12" s="67"/>
      <c r="Q12" s="67"/>
      <c r="R12" s="74"/>
      <c r="T12" s="19"/>
      <c r="U12" s="19"/>
      <c r="V12" s="19"/>
      <c r="W12" s="19"/>
      <c r="X12" s="19"/>
      <c r="Y12" s="19"/>
    </row>
    <row r="13" spans="1:25" s="18" customFormat="1" ht="25.5" customHeight="1">
      <c r="B13" s="66" t="s">
        <v>104</v>
      </c>
      <c r="C13" s="67"/>
      <c r="D13" s="68" t="s">
        <v>60</v>
      </c>
      <c r="E13" s="73" t="s">
        <v>9</v>
      </c>
      <c r="F13" s="73" t="s">
        <v>10</v>
      </c>
      <c r="G13" s="73" t="s">
        <v>57</v>
      </c>
      <c r="H13" s="69" t="s">
        <v>105</v>
      </c>
      <c r="I13" s="70"/>
      <c r="J13" s="68" t="s">
        <v>58</v>
      </c>
      <c r="K13" s="73" t="s">
        <v>9</v>
      </c>
      <c r="L13" s="73" t="s">
        <v>10</v>
      </c>
      <c r="M13" s="73" t="s">
        <v>57</v>
      </c>
      <c r="N13" s="73" t="s">
        <v>11</v>
      </c>
      <c r="O13" s="67" t="s">
        <v>12</v>
      </c>
      <c r="P13" s="67"/>
      <c r="Q13" s="67"/>
      <c r="R13" s="74"/>
      <c r="T13" s="40"/>
      <c r="U13" s="19"/>
      <c r="V13" s="19"/>
      <c r="W13" s="19"/>
      <c r="X13" s="19"/>
      <c r="Y13" s="19"/>
    </row>
    <row r="14" spans="1:25" s="18" customFormat="1" ht="21.2" customHeight="1">
      <c r="B14" s="66"/>
      <c r="C14" s="67"/>
      <c r="D14" s="68"/>
      <c r="E14" s="73"/>
      <c r="F14" s="73"/>
      <c r="G14" s="73"/>
      <c r="H14" s="69"/>
      <c r="I14" s="70"/>
      <c r="J14" s="68"/>
      <c r="K14" s="73"/>
      <c r="L14" s="73"/>
      <c r="M14" s="73"/>
      <c r="N14" s="73"/>
      <c r="O14" s="67"/>
      <c r="P14" s="67"/>
      <c r="Q14" s="67"/>
      <c r="R14" s="74"/>
      <c r="T14" s="40"/>
      <c r="U14" s="19"/>
      <c r="V14" s="19"/>
      <c r="W14" s="19"/>
      <c r="X14" s="19"/>
      <c r="Y14" s="19"/>
    </row>
    <row r="15" spans="1:25" s="27" customFormat="1" ht="21.2" customHeight="1">
      <c r="B15" s="66"/>
      <c r="C15" s="67"/>
      <c r="D15" s="75"/>
      <c r="E15" s="73"/>
      <c r="F15" s="73" t="s">
        <v>13</v>
      </c>
      <c r="G15" s="73"/>
      <c r="H15" s="69"/>
      <c r="I15" s="70"/>
      <c r="J15" s="75"/>
      <c r="K15" s="73"/>
      <c r="L15" s="73" t="s">
        <v>13</v>
      </c>
      <c r="M15" s="73"/>
      <c r="N15" s="76"/>
      <c r="O15" s="71"/>
      <c r="P15" s="71"/>
      <c r="Q15" s="77"/>
      <c r="R15" s="78"/>
      <c r="T15" s="28"/>
      <c r="U15" s="28"/>
      <c r="V15" s="28"/>
      <c r="W15" s="28"/>
      <c r="X15" s="28"/>
      <c r="Y15" s="28"/>
    </row>
    <row r="16" spans="1:25" s="27" customFormat="1" ht="21.2" customHeight="1">
      <c r="B16" s="66" t="s">
        <v>14</v>
      </c>
      <c r="C16" s="67"/>
      <c r="D16" s="68" t="s">
        <v>14</v>
      </c>
      <c r="E16" s="73"/>
      <c r="F16" s="73" t="s">
        <v>15</v>
      </c>
      <c r="G16" s="73" t="s">
        <v>16</v>
      </c>
      <c r="H16" s="69" t="s">
        <v>14</v>
      </c>
      <c r="I16" s="70"/>
      <c r="J16" s="68" t="s">
        <v>14</v>
      </c>
      <c r="K16" s="73"/>
      <c r="L16" s="73" t="s">
        <v>15</v>
      </c>
      <c r="M16" s="73" t="s">
        <v>16</v>
      </c>
      <c r="N16" s="73" t="s">
        <v>17</v>
      </c>
      <c r="O16" s="67"/>
      <c r="P16" s="67"/>
      <c r="Q16" s="67"/>
      <c r="R16" s="74"/>
      <c r="T16" s="28"/>
      <c r="U16" s="28"/>
      <c r="V16" s="28"/>
      <c r="W16" s="28"/>
      <c r="X16" s="28"/>
      <c r="Y16" s="28"/>
    </row>
    <row r="17" spans="2:25" s="27" customFormat="1" ht="21.2" customHeight="1">
      <c r="B17" s="66" t="s">
        <v>19</v>
      </c>
      <c r="C17" s="67"/>
      <c r="D17" s="68" t="s">
        <v>19</v>
      </c>
      <c r="E17" s="76"/>
      <c r="F17" s="73" t="s">
        <v>20</v>
      </c>
      <c r="G17" s="73" t="s">
        <v>21</v>
      </c>
      <c r="H17" s="69" t="s">
        <v>19</v>
      </c>
      <c r="I17" s="70"/>
      <c r="J17" s="68" t="s">
        <v>19</v>
      </c>
      <c r="K17" s="76"/>
      <c r="L17" s="73" t="s">
        <v>20</v>
      </c>
      <c r="M17" s="73" t="s">
        <v>21</v>
      </c>
      <c r="N17" s="73" t="s">
        <v>90</v>
      </c>
      <c r="O17" s="67" t="s">
        <v>18</v>
      </c>
      <c r="P17" s="67"/>
      <c r="Q17" s="67"/>
      <c r="R17" s="79"/>
      <c r="T17" s="28"/>
      <c r="U17" s="28"/>
      <c r="V17" s="28"/>
      <c r="W17" s="28"/>
      <c r="X17" s="28"/>
      <c r="Y17" s="28"/>
    </row>
    <row r="18" spans="2:25" s="27" customFormat="1" ht="21.2" customHeight="1">
      <c r="B18" s="201" t="s">
        <v>106</v>
      </c>
      <c r="C18" s="202"/>
      <c r="D18" s="81" t="s">
        <v>23</v>
      </c>
      <c r="E18" s="82" t="s">
        <v>24</v>
      </c>
      <c r="F18" s="82" t="s">
        <v>25</v>
      </c>
      <c r="G18" s="82" t="s">
        <v>26</v>
      </c>
      <c r="H18" s="203" t="s">
        <v>107</v>
      </c>
      <c r="I18" s="202"/>
      <c r="J18" s="81" t="s">
        <v>27</v>
      </c>
      <c r="K18" s="82" t="s">
        <v>24</v>
      </c>
      <c r="L18" s="82" t="s">
        <v>25</v>
      </c>
      <c r="M18" s="82" t="s">
        <v>26</v>
      </c>
      <c r="N18" s="82" t="s">
        <v>91</v>
      </c>
      <c r="O18" s="83" t="s">
        <v>22</v>
      </c>
      <c r="P18" s="80"/>
      <c r="Q18" s="80"/>
      <c r="R18" s="86"/>
      <c r="T18" s="28"/>
      <c r="U18" s="28"/>
      <c r="V18" s="28"/>
      <c r="W18" s="28"/>
      <c r="X18" s="28"/>
      <c r="Y18" s="28"/>
    </row>
    <row r="19" spans="2:25" s="18" customFormat="1" ht="47.25" customHeight="1">
      <c r="B19" s="87">
        <v>53.6</v>
      </c>
      <c r="C19" s="88"/>
      <c r="D19" s="89">
        <f t="shared" ref="D19:D43" si="0">J19+E19</f>
        <v>53.599999999999994</v>
      </c>
      <c r="E19" s="90">
        <f t="shared" ref="E19:E43" si="1">F19+G19</f>
        <v>13.8</v>
      </c>
      <c r="F19" s="90">
        <v>0.5</v>
      </c>
      <c r="G19" s="90">
        <v>13.3</v>
      </c>
      <c r="H19" s="91">
        <v>39.799999999999997</v>
      </c>
      <c r="I19" s="91"/>
      <c r="J19" s="89">
        <f t="shared" ref="J19:J43" si="2">N19+K19</f>
        <v>39.799999999999997</v>
      </c>
      <c r="K19" s="90">
        <f t="shared" ref="K19:K43" si="3">L19+M19</f>
        <v>16.8</v>
      </c>
      <c r="L19" s="90">
        <v>1.9</v>
      </c>
      <c r="M19" s="90">
        <v>14.9</v>
      </c>
      <c r="N19" s="92">
        <v>23</v>
      </c>
      <c r="O19" s="194">
        <v>1964</v>
      </c>
      <c r="P19" s="190"/>
      <c r="Q19" s="190"/>
      <c r="R19" s="195"/>
    </row>
    <row r="20" spans="2:25" s="18" customFormat="1" ht="47.25" customHeight="1">
      <c r="B20" s="93">
        <v>64.2</v>
      </c>
      <c r="C20" s="94"/>
      <c r="D20" s="95">
        <f t="shared" si="0"/>
        <v>64.2</v>
      </c>
      <c r="E20" s="96">
        <f t="shared" si="1"/>
        <v>17</v>
      </c>
      <c r="F20" s="96">
        <v>0.5</v>
      </c>
      <c r="G20" s="96">
        <v>16.5</v>
      </c>
      <c r="H20" s="97">
        <v>47.2</v>
      </c>
      <c r="I20" s="97"/>
      <c r="J20" s="95">
        <f t="shared" si="2"/>
        <v>47.2</v>
      </c>
      <c r="K20" s="96">
        <f t="shared" si="3"/>
        <v>20.8</v>
      </c>
      <c r="L20" s="96">
        <v>1.5</v>
      </c>
      <c r="M20" s="96">
        <v>19.3</v>
      </c>
      <c r="N20" s="98">
        <v>26.4</v>
      </c>
      <c r="O20" s="196">
        <v>1965</v>
      </c>
      <c r="P20" s="186"/>
      <c r="Q20" s="186"/>
      <c r="R20" s="197"/>
    </row>
    <row r="21" spans="2:25" s="18" customFormat="1" ht="47.25" customHeight="1">
      <c r="B21" s="87">
        <v>75.8</v>
      </c>
      <c r="C21" s="88"/>
      <c r="D21" s="89">
        <f t="shared" si="0"/>
        <v>75.8</v>
      </c>
      <c r="E21" s="90">
        <f t="shared" si="1"/>
        <v>19.8</v>
      </c>
      <c r="F21" s="90">
        <v>0.2</v>
      </c>
      <c r="G21" s="90">
        <v>19.600000000000001</v>
      </c>
      <c r="H21" s="91">
        <v>56</v>
      </c>
      <c r="I21" s="91"/>
      <c r="J21" s="89">
        <f t="shared" si="2"/>
        <v>56</v>
      </c>
      <c r="K21" s="90">
        <f t="shared" si="3"/>
        <v>25.7</v>
      </c>
      <c r="L21" s="90">
        <v>0.8</v>
      </c>
      <c r="M21" s="90">
        <v>24.9</v>
      </c>
      <c r="N21" s="92">
        <v>30.3</v>
      </c>
      <c r="O21" s="190">
        <v>1966</v>
      </c>
      <c r="P21" s="190"/>
      <c r="Q21" s="190"/>
      <c r="R21" s="191"/>
    </row>
    <row r="22" spans="2:25" s="18" customFormat="1" ht="47.25" customHeight="1">
      <c r="B22" s="93">
        <v>94</v>
      </c>
      <c r="C22" s="94"/>
      <c r="D22" s="95">
        <f t="shared" si="0"/>
        <v>94</v>
      </c>
      <c r="E22" s="96">
        <f t="shared" si="1"/>
        <v>18.8</v>
      </c>
      <c r="F22" s="96">
        <v>0.6</v>
      </c>
      <c r="G22" s="96">
        <v>18.2</v>
      </c>
      <c r="H22" s="97">
        <v>75.2</v>
      </c>
      <c r="I22" s="97"/>
      <c r="J22" s="95">
        <f t="shared" si="2"/>
        <v>75.2</v>
      </c>
      <c r="K22" s="96">
        <f t="shared" si="3"/>
        <v>23.7</v>
      </c>
      <c r="L22" s="96">
        <v>1.3</v>
      </c>
      <c r="M22" s="96">
        <v>22.4</v>
      </c>
      <c r="N22" s="98">
        <v>51.5</v>
      </c>
      <c r="O22" s="186">
        <v>1967</v>
      </c>
      <c r="P22" s="186"/>
      <c r="Q22" s="186"/>
      <c r="R22" s="187"/>
    </row>
    <row r="23" spans="2:25" s="18" customFormat="1" ht="47.25" customHeight="1">
      <c r="B23" s="87">
        <v>108.8</v>
      </c>
      <c r="C23" s="88"/>
      <c r="D23" s="89">
        <f t="shared" si="0"/>
        <v>108.9</v>
      </c>
      <c r="E23" s="90">
        <f t="shared" si="1"/>
        <v>20.9</v>
      </c>
      <c r="F23" s="90">
        <v>0.7</v>
      </c>
      <c r="G23" s="90">
        <v>20.2</v>
      </c>
      <c r="H23" s="91">
        <v>88</v>
      </c>
      <c r="I23" s="91"/>
      <c r="J23" s="89">
        <f t="shared" si="2"/>
        <v>88</v>
      </c>
      <c r="K23" s="90">
        <f t="shared" si="3"/>
        <v>24.5</v>
      </c>
      <c r="L23" s="90">
        <v>1.7</v>
      </c>
      <c r="M23" s="90">
        <v>22.8</v>
      </c>
      <c r="N23" s="92">
        <v>63.5</v>
      </c>
      <c r="O23" s="190">
        <v>1968</v>
      </c>
      <c r="P23" s="190"/>
      <c r="Q23" s="190"/>
      <c r="R23" s="191"/>
    </row>
    <row r="24" spans="2:25" s="18" customFormat="1" ht="47.25" customHeight="1">
      <c r="B24" s="93">
        <v>118.9</v>
      </c>
      <c r="C24" s="94"/>
      <c r="D24" s="95">
        <f t="shared" si="0"/>
        <v>119</v>
      </c>
      <c r="E24" s="96">
        <f t="shared" si="1"/>
        <v>22.700000000000003</v>
      </c>
      <c r="F24" s="96">
        <v>0.6</v>
      </c>
      <c r="G24" s="96">
        <v>22.1</v>
      </c>
      <c r="H24" s="97">
        <v>96.3</v>
      </c>
      <c r="I24" s="97"/>
      <c r="J24" s="95">
        <f t="shared" si="2"/>
        <v>96.3</v>
      </c>
      <c r="K24" s="96">
        <f t="shared" si="3"/>
        <v>25</v>
      </c>
      <c r="L24" s="96">
        <v>1.7</v>
      </c>
      <c r="M24" s="96">
        <v>23.3</v>
      </c>
      <c r="N24" s="98">
        <v>71.3</v>
      </c>
      <c r="O24" s="186">
        <v>1969</v>
      </c>
      <c r="P24" s="186"/>
      <c r="Q24" s="186"/>
      <c r="R24" s="187"/>
    </row>
    <row r="25" spans="2:25" s="18" customFormat="1" ht="47.25" customHeight="1">
      <c r="B25" s="87">
        <v>129.1</v>
      </c>
      <c r="C25" s="88"/>
      <c r="D25" s="89">
        <f t="shared" si="0"/>
        <v>129.10000000000002</v>
      </c>
      <c r="E25" s="90">
        <f t="shared" si="1"/>
        <v>23.700000000000003</v>
      </c>
      <c r="F25" s="90">
        <v>1.1000000000000001</v>
      </c>
      <c r="G25" s="90">
        <v>22.6</v>
      </c>
      <c r="H25" s="91">
        <v>105.4</v>
      </c>
      <c r="I25" s="91"/>
      <c r="J25" s="89">
        <f t="shared" si="2"/>
        <v>105.4</v>
      </c>
      <c r="K25" s="90">
        <f t="shared" si="3"/>
        <v>23</v>
      </c>
      <c r="L25" s="90">
        <v>2.2000000000000002</v>
      </c>
      <c r="M25" s="90">
        <v>20.8</v>
      </c>
      <c r="N25" s="92">
        <v>82.4</v>
      </c>
      <c r="O25" s="190">
        <v>1970</v>
      </c>
      <c r="P25" s="190"/>
      <c r="Q25" s="190" t="s">
        <v>29</v>
      </c>
      <c r="R25" s="191"/>
    </row>
    <row r="26" spans="2:25" s="18" customFormat="1" ht="47.25" customHeight="1">
      <c r="B26" s="93">
        <v>135.1</v>
      </c>
      <c r="C26" s="94"/>
      <c r="D26" s="95">
        <f t="shared" si="0"/>
        <v>135.1</v>
      </c>
      <c r="E26" s="96">
        <f t="shared" si="1"/>
        <v>27.099999999999998</v>
      </c>
      <c r="F26" s="96">
        <v>1.2</v>
      </c>
      <c r="G26" s="96">
        <v>25.9</v>
      </c>
      <c r="H26" s="97">
        <v>108</v>
      </c>
      <c r="I26" s="97"/>
      <c r="J26" s="95">
        <f t="shared" si="2"/>
        <v>108</v>
      </c>
      <c r="K26" s="96">
        <f t="shared" si="3"/>
        <v>25</v>
      </c>
      <c r="L26" s="96">
        <v>2.1</v>
      </c>
      <c r="M26" s="96">
        <v>22.9</v>
      </c>
      <c r="N26" s="98">
        <v>83</v>
      </c>
      <c r="O26" s="186">
        <v>1971</v>
      </c>
      <c r="P26" s="186"/>
      <c r="Q26" s="186" t="s">
        <v>30</v>
      </c>
      <c r="R26" s="187"/>
    </row>
    <row r="27" spans="2:25" s="18" customFormat="1" ht="47.25" customHeight="1">
      <c r="B27" s="87">
        <v>146.6</v>
      </c>
      <c r="C27" s="88"/>
      <c r="D27" s="89">
        <f t="shared" si="0"/>
        <v>146.6</v>
      </c>
      <c r="E27" s="90">
        <f t="shared" si="1"/>
        <v>31.5</v>
      </c>
      <c r="F27" s="90">
        <v>1.2</v>
      </c>
      <c r="G27" s="90">
        <v>30.3</v>
      </c>
      <c r="H27" s="91">
        <v>115.1</v>
      </c>
      <c r="I27" s="91"/>
      <c r="J27" s="89">
        <f t="shared" si="2"/>
        <v>115.1</v>
      </c>
      <c r="K27" s="90">
        <f t="shared" si="3"/>
        <v>33.6</v>
      </c>
      <c r="L27" s="90">
        <v>2.6</v>
      </c>
      <c r="M27" s="90">
        <v>31</v>
      </c>
      <c r="N27" s="92">
        <v>81.5</v>
      </c>
      <c r="O27" s="190">
        <v>1972</v>
      </c>
      <c r="P27" s="190"/>
      <c r="Q27" s="190" t="s">
        <v>31</v>
      </c>
      <c r="R27" s="191"/>
    </row>
    <row r="28" spans="2:25" s="18" customFormat="1" ht="47.25" customHeight="1">
      <c r="B28" s="93">
        <v>176.1</v>
      </c>
      <c r="C28" s="94"/>
      <c r="D28" s="95">
        <f t="shared" si="0"/>
        <v>176.10000000000002</v>
      </c>
      <c r="E28" s="96">
        <f t="shared" si="1"/>
        <v>36.800000000000004</v>
      </c>
      <c r="F28" s="96">
        <v>1.2</v>
      </c>
      <c r="G28" s="96">
        <v>35.6</v>
      </c>
      <c r="H28" s="97">
        <v>139.30000000000001</v>
      </c>
      <c r="I28" s="97"/>
      <c r="J28" s="95">
        <f t="shared" si="2"/>
        <v>139.30000000000001</v>
      </c>
      <c r="K28" s="96">
        <f t="shared" si="3"/>
        <v>41.800000000000004</v>
      </c>
      <c r="L28" s="96">
        <v>4.0999999999999996</v>
      </c>
      <c r="M28" s="96">
        <v>37.700000000000003</v>
      </c>
      <c r="N28" s="98">
        <v>97.5</v>
      </c>
      <c r="O28" s="186">
        <v>1973</v>
      </c>
      <c r="P28" s="186"/>
      <c r="Q28" s="186" t="s">
        <v>32</v>
      </c>
      <c r="R28" s="187"/>
    </row>
    <row r="29" spans="2:25" s="18" customFormat="1" ht="47.25" customHeight="1">
      <c r="B29" s="87">
        <v>220.6</v>
      </c>
      <c r="C29" s="88"/>
      <c r="D29" s="89">
        <f t="shared" si="0"/>
        <v>219.89999999999998</v>
      </c>
      <c r="E29" s="90">
        <f t="shared" si="1"/>
        <v>47.8</v>
      </c>
      <c r="F29" s="90">
        <v>1.5</v>
      </c>
      <c r="G29" s="90">
        <v>46.3</v>
      </c>
      <c r="H29" s="91">
        <v>172.1</v>
      </c>
      <c r="I29" s="91"/>
      <c r="J29" s="89">
        <f t="shared" si="2"/>
        <v>172.1</v>
      </c>
      <c r="K29" s="90">
        <f t="shared" si="3"/>
        <v>56.6</v>
      </c>
      <c r="L29" s="90">
        <v>4.2</v>
      </c>
      <c r="M29" s="90">
        <v>52.4</v>
      </c>
      <c r="N29" s="92">
        <v>115.5</v>
      </c>
      <c r="O29" s="190">
        <v>1974</v>
      </c>
      <c r="P29" s="190"/>
      <c r="Q29" s="190" t="s">
        <v>33</v>
      </c>
      <c r="R29" s="191"/>
    </row>
    <row r="30" spans="2:25" s="18" customFormat="1" ht="47.25" customHeight="1">
      <c r="B30" s="93">
        <v>289.7</v>
      </c>
      <c r="C30" s="94"/>
      <c r="D30" s="95">
        <f t="shared" si="0"/>
        <v>288.39999999999998</v>
      </c>
      <c r="E30" s="96">
        <f t="shared" si="1"/>
        <v>63.8</v>
      </c>
      <c r="F30" s="96">
        <v>0.8</v>
      </c>
      <c r="G30" s="96">
        <v>63</v>
      </c>
      <c r="H30" s="97">
        <v>224.6</v>
      </c>
      <c r="I30" s="97"/>
      <c r="J30" s="95">
        <f t="shared" si="2"/>
        <v>224.6</v>
      </c>
      <c r="K30" s="96">
        <f t="shared" si="3"/>
        <v>85.6</v>
      </c>
      <c r="L30" s="96">
        <v>5</v>
      </c>
      <c r="M30" s="96">
        <v>80.599999999999994</v>
      </c>
      <c r="N30" s="98">
        <v>139</v>
      </c>
      <c r="O30" s="186">
        <v>1975</v>
      </c>
      <c r="P30" s="186"/>
      <c r="Q30" s="186" t="s">
        <v>34</v>
      </c>
      <c r="R30" s="187"/>
    </row>
    <row r="31" spans="2:25" s="18" customFormat="1" ht="47.25" customHeight="1">
      <c r="B31" s="87">
        <v>380.4</v>
      </c>
      <c r="C31" s="88"/>
      <c r="D31" s="89">
        <f t="shared" si="0"/>
        <v>378.4</v>
      </c>
      <c r="E31" s="90">
        <f t="shared" si="1"/>
        <v>101.5</v>
      </c>
      <c r="F31" s="90">
        <v>3.4</v>
      </c>
      <c r="G31" s="90">
        <v>98.1</v>
      </c>
      <c r="H31" s="91">
        <v>277.60000000000002</v>
      </c>
      <c r="I31" s="91"/>
      <c r="J31" s="89">
        <f t="shared" si="2"/>
        <v>276.89999999999998</v>
      </c>
      <c r="K31" s="90">
        <f t="shared" si="3"/>
        <v>115.5</v>
      </c>
      <c r="L31" s="90">
        <v>8.9</v>
      </c>
      <c r="M31" s="90">
        <v>106.6</v>
      </c>
      <c r="N31" s="92">
        <v>161.4</v>
      </c>
      <c r="O31" s="190">
        <v>1976</v>
      </c>
      <c r="P31" s="190"/>
      <c r="Q31" s="190" t="s">
        <v>35</v>
      </c>
      <c r="R31" s="191"/>
    </row>
    <row r="32" spans="2:25" s="18" customFormat="1" ht="47.25" customHeight="1">
      <c r="B32" s="93">
        <v>470.3</v>
      </c>
      <c r="C32" s="94"/>
      <c r="D32" s="95">
        <f t="shared" si="0"/>
        <v>467.6</v>
      </c>
      <c r="E32" s="96">
        <f t="shared" si="1"/>
        <v>136.6</v>
      </c>
      <c r="F32" s="96">
        <v>2.6</v>
      </c>
      <c r="G32" s="96">
        <v>134</v>
      </c>
      <c r="H32" s="97">
        <v>332.3</v>
      </c>
      <c r="I32" s="97"/>
      <c r="J32" s="95">
        <f t="shared" si="2"/>
        <v>331</v>
      </c>
      <c r="K32" s="96">
        <f t="shared" si="3"/>
        <v>143</v>
      </c>
      <c r="L32" s="96">
        <v>9.6</v>
      </c>
      <c r="M32" s="96">
        <v>133.4</v>
      </c>
      <c r="N32" s="98">
        <v>188</v>
      </c>
      <c r="O32" s="204">
        <v>1977</v>
      </c>
      <c r="P32" s="186"/>
      <c r="Q32" s="186" t="s">
        <v>36</v>
      </c>
      <c r="R32" s="187"/>
    </row>
    <row r="33" spans="2:18" s="18" customFormat="1" ht="47.25" customHeight="1">
      <c r="B33" s="87">
        <v>613.20000000000005</v>
      </c>
      <c r="C33" s="88"/>
      <c r="D33" s="89">
        <f t="shared" si="0"/>
        <v>606.69999999999993</v>
      </c>
      <c r="E33" s="90">
        <f t="shared" si="1"/>
        <v>231.29999999999998</v>
      </c>
      <c r="F33" s="90">
        <v>10.6</v>
      </c>
      <c r="G33" s="90">
        <v>220.7</v>
      </c>
      <c r="H33" s="91">
        <v>379.9</v>
      </c>
      <c r="I33" s="91"/>
      <c r="J33" s="89">
        <f t="shared" si="2"/>
        <v>375.4</v>
      </c>
      <c r="K33" s="90">
        <f t="shared" si="3"/>
        <v>155.9</v>
      </c>
      <c r="L33" s="90">
        <v>12</v>
      </c>
      <c r="M33" s="90">
        <v>143.9</v>
      </c>
      <c r="N33" s="92">
        <v>219.5</v>
      </c>
      <c r="O33" s="190">
        <v>1978</v>
      </c>
      <c r="P33" s="190"/>
      <c r="Q33" s="190" t="s">
        <v>37</v>
      </c>
      <c r="R33" s="191"/>
    </row>
    <row r="34" spans="2:18" s="18" customFormat="1" ht="47.25" customHeight="1">
      <c r="B34" s="93">
        <v>784.3</v>
      </c>
      <c r="C34" s="94"/>
      <c r="D34" s="95">
        <f t="shared" si="0"/>
        <v>773.1</v>
      </c>
      <c r="E34" s="96">
        <f t="shared" si="1"/>
        <v>300.40000000000003</v>
      </c>
      <c r="F34" s="96">
        <v>8.8000000000000007</v>
      </c>
      <c r="G34" s="96">
        <v>291.60000000000002</v>
      </c>
      <c r="H34" s="97">
        <v>480</v>
      </c>
      <c r="I34" s="97"/>
      <c r="J34" s="95">
        <f t="shared" si="2"/>
        <v>472.7</v>
      </c>
      <c r="K34" s="96">
        <f t="shared" si="3"/>
        <v>197.3</v>
      </c>
      <c r="L34" s="96">
        <v>23.5</v>
      </c>
      <c r="M34" s="96">
        <v>173.8</v>
      </c>
      <c r="N34" s="98">
        <v>275.39999999999998</v>
      </c>
      <c r="O34" s="186">
        <v>1979</v>
      </c>
      <c r="P34" s="186"/>
      <c r="Q34" s="186" t="s">
        <v>38</v>
      </c>
      <c r="R34" s="187"/>
    </row>
    <row r="35" spans="2:18" s="18" customFormat="1" ht="47.25" customHeight="1">
      <c r="B35" s="87">
        <v>1000.4</v>
      </c>
      <c r="C35" s="88"/>
      <c r="D35" s="89">
        <f t="shared" si="0"/>
        <v>984.80000000000007</v>
      </c>
      <c r="E35" s="90">
        <f t="shared" si="1"/>
        <v>390</v>
      </c>
      <c r="F35" s="90">
        <v>28.3</v>
      </c>
      <c r="G35" s="90">
        <v>361.7</v>
      </c>
      <c r="H35" s="91">
        <v>600</v>
      </c>
      <c r="I35" s="91"/>
      <c r="J35" s="89">
        <f t="shared" si="2"/>
        <v>594.80000000000007</v>
      </c>
      <c r="K35" s="90">
        <f t="shared" si="3"/>
        <v>243.20000000000002</v>
      </c>
      <c r="L35" s="90">
        <v>24.3</v>
      </c>
      <c r="M35" s="90">
        <v>218.9</v>
      </c>
      <c r="N35" s="92">
        <v>351.6</v>
      </c>
      <c r="O35" s="190">
        <v>1980</v>
      </c>
      <c r="P35" s="190"/>
      <c r="Q35" s="190" t="s">
        <v>39</v>
      </c>
      <c r="R35" s="191"/>
    </row>
    <row r="36" spans="2:18" s="18" customFormat="1" ht="47.25" customHeight="1">
      <c r="B36" s="93">
        <v>1212.0999999999999</v>
      </c>
      <c r="C36" s="94"/>
      <c r="D36" s="95">
        <f t="shared" si="0"/>
        <v>1179.9000000000001</v>
      </c>
      <c r="E36" s="96">
        <f t="shared" si="1"/>
        <v>478.2</v>
      </c>
      <c r="F36" s="96">
        <v>43.8</v>
      </c>
      <c r="G36" s="96">
        <v>434.4</v>
      </c>
      <c r="H36" s="97">
        <v>714.5</v>
      </c>
      <c r="I36" s="97"/>
      <c r="J36" s="95">
        <f t="shared" si="2"/>
        <v>701.7</v>
      </c>
      <c r="K36" s="96">
        <f t="shared" si="3"/>
        <v>289.39999999999998</v>
      </c>
      <c r="L36" s="96">
        <v>17.399999999999999</v>
      </c>
      <c r="M36" s="96">
        <v>272</v>
      </c>
      <c r="N36" s="98">
        <v>412.3</v>
      </c>
      <c r="O36" s="186">
        <v>1981</v>
      </c>
      <c r="P36" s="186"/>
      <c r="Q36" s="186" t="s">
        <v>40</v>
      </c>
      <c r="R36" s="187"/>
    </row>
    <row r="37" spans="2:18" s="18" customFormat="1" ht="47.25" customHeight="1">
      <c r="B37" s="87">
        <v>1443.8</v>
      </c>
      <c r="C37" s="88"/>
      <c r="D37" s="89">
        <f t="shared" si="0"/>
        <v>1403.3</v>
      </c>
      <c r="E37" s="90">
        <f t="shared" si="1"/>
        <v>615.79999999999995</v>
      </c>
      <c r="F37" s="90">
        <v>28.8</v>
      </c>
      <c r="G37" s="90">
        <v>587</v>
      </c>
      <c r="H37" s="91">
        <v>802.7</v>
      </c>
      <c r="I37" s="91"/>
      <c r="J37" s="89">
        <f t="shared" si="2"/>
        <v>787.5</v>
      </c>
      <c r="K37" s="90">
        <f t="shared" si="3"/>
        <v>317.5</v>
      </c>
      <c r="L37" s="90">
        <v>21.2</v>
      </c>
      <c r="M37" s="90">
        <v>296.3</v>
      </c>
      <c r="N37" s="92">
        <v>470</v>
      </c>
      <c r="O37" s="190">
        <v>1982</v>
      </c>
      <c r="P37" s="190"/>
      <c r="Q37" s="190" t="s">
        <v>41</v>
      </c>
      <c r="R37" s="191"/>
    </row>
    <row r="38" spans="2:18" s="18" customFormat="1" ht="47.25" customHeight="1">
      <c r="B38" s="93">
        <v>1677.6</v>
      </c>
      <c r="C38" s="94"/>
      <c r="D38" s="95">
        <f t="shared" si="0"/>
        <v>1615.1999999999998</v>
      </c>
      <c r="E38" s="96">
        <f t="shared" si="1"/>
        <v>745.8</v>
      </c>
      <c r="F38" s="96">
        <v>35.4</v>
      </c>
      <c r="G38" s="96">
        <v>710.4</v>
      </c>
      <c r="H38" s="97">
        <v>883.6</v>
      </c>
      <c r="I38" s="97"/>
      <c r="J38" s="95">
        <f t="shared" si="2"/>
        <v>869.4</v>
      </c>
      <c r="K38" s="96">
        <f t="shared" si="3"/>
        <v>353.4</v>
      </c>
      <c r="L38" s="96">
        <v>28.4</v>
      </c>
      <c r="M38" s="96">
        <v>325</v>
      </c>
      <c r="N38" s="98">
        <v>516</v>
      </c>
      <c r="O38" s="186">
        <v>1983</v>
      </c>
      <c r="P38" s="186"/>
      <c r="Q38" s="186" t="s">
        <v>42</v>
      </c>
      <c r="R38" s="187"/>
    </row>
    <row r="39" spans="2:18" s="18" customFormat="1" ht="47.25" customHeight="1">
      <c r="B39" s="87">
        <v>1834.1</v>
      </c>
      <c r="C39" s="88"/>
      <c r="D39" s="89">
        <f t="shared" si="0"/>
        <v>1757.6999999999998</v>
      </c>
      <c r="E39" s="90">
        <f t="shared" si="1"/>
        <v>879.3</v>
      </c>
      <c r="F39" s="90">
        <v>35.299999999999997</v>
      </c>
      <c r="G39" s="90">
        <v>844</v>
      </c>
      <c r="H39" s="91">
        <v>888.6</v>
      </c>
      <c r="I39" s="91"/>
      <c r="J39" s="89">
        <f t="shared" si="2"/>
        <v>878.4</v>
      </c>
      <c r="K39" s="90">
        <f t="shared" si="3"/>
        <v>347.9</v>
      </c>
      <c r="L39" s="90">
        <v>22</v>
      </c>
      <c r="M39" s="90">
        <v>325.89999999999998</v>
      </c>
      <c r="N39" s="92">
        <v>530.5</v>
      </c>
      <c r="O39" s="190">
        <v>1984</v>
      </c>
      <c r="P39" s="190"/>
      <c r="Q39" s="190" t="s">
        <v>43</v>
      </c>
      <c r="R39" s="191"/>
    </row>
    <row r="40" spans="2:18" s="18" customFormat="1" ht="47.25" customHeight="1">
      <c r="B40" s="93">
        <v>1977.7</v>
      </c>
      <c r="C40" s="94"/>
      <c r="D40" s="95">
        <f t="shared" si="0"/>
        <v>1874.8</v>
      </c>
      <c r="E40" s="96">
        <f t="shared" si="1"/>
        <v>1026.5999999999999</v>
      </c>
      <c r="F40" s="96">
        <v>44.8</v>
      </c>
      <c r="G40" s="96">
        <v>981.8</v>
      </c>
      <c r="H40" s="97">
        <v>861</v>
      </c>
      <c r="I40" s="97"/>
      <c r="J40" s="95">
        <f t="shared" si="2"/>
        <v>848.2</v>
      </c>
      <c r="K40" s="96">
        <f t="shared" si="3"/>
        <v>316.40000000000003</v>
      </c>
      <c r="L40" s="96">
        <v>23.8</v>
      </c>
      <c r="M40" s="96">
        <v>292.60000000000002</v>
      </c>
      <c r="N40" s="98">
        <v>531.79999999999995</v>
      </c>
      <c r="O40" s="186">
        <v>1985</v>
      </c>
      <c r="P40" s="186"/>
      <c r="Q40" s="186" t="s">
        <v>44</v>
      </c>
      <c r="R40" s="187"/>
    </row>
    <row r="41" spans="2:18" s="18" customFormat="1" ht="47.25" customHeight="1">
      <c r="B41" s="87">
        <v>2181.3000000000002</v>
      </c>
      <c r="C41" s="88"/>
      <c r="D41" s="89">
        <f t="shared" si="0"/>
        <v>2072.3999999999996</v>
      </c>
      <c r="E41" s="90">
        <f t="shared" si="1"/>
        <v>1175.3</v>
      </c>
      <c r="F41" s="90">
        <v>50.2</v>
      </c>
      <c r="G41" s="90">
        <v>1125.0999999999999</v>
      </c>
      <c r="H41" s="91">
        <v>910.8</v>
      </c>
      <c r="I41" s="91"/>
      <c r="J41" s="89">
        <f t="shared" si="2"/>
        <v>897.09999999999991</v>
      </c>
      <c r="K41" s="90">
        <f t="shared" si="3"/>
        <v>313.2</v>
      </c>
      <c r="L41" s="90">
        <v>13.3</v>
      </c>
      <c r="M41" s="90">
        <v>299.89999999999998</v>
      </c>
      <c r="N41" s="92">
        <v>583.9</v>
      </c>
      <c r="O41" s="190">
        <v>1986</v>
      </c>
      <c r="P41" s="190"/>
      <c r="Q41" s="190" t="s">
        <v>45</v>
      </c>
      <c r="R41" s="191"/>
    </row>
    <row r="42" spans="2:18" s="18" customFormat="1" ht="47.25" customHeight="1">
      <c r="B42" s="93">
        <v>2501.8000000000002</v>
      </c>
      <c r="C42" s="94"/>
      <c r="D42" s="95">
        <f t="shared" si="0"/>
        <v>2372.1999999999998</v>
      </c>
      <c r="E42" s="96">
        <f t="shared" si="1"/>
        <v>1392.3999999999999</v>
      </c>
      <c r="F42" s="96">
        <v>41.1</v>
      </c>
      <c r="G42" s="96">
        <v>1351.3</v>
      </c>
      <c r="H42" s="97">
        <v>999.2</v>
      </c>
      <c r="I42" s="97"/>
      <c r="J42" s="95">
        <f t="shared" si="2"/>
        <v>979.8</v>
      </c>
      <c r="K42" s="96">
        <f t="shared" si="3"/>
        <v>324</v>
      </c>
      <c r="L42" s="96">
        <v>11.3</v>
      </c>
      <c r="M42" s="96">
        <v>312.7</v>
      </c>
      <c r="N42" s="98">
        <v>655.8</v>
      </c>
      <c r="O42" s="186">
        <v>1987</v>
      </c>
      <c r="P42" s="186"/>
      <c r="Q42" s="186" t="s">
        <v>46</v>
      </c>
      <c r="R42" s="187"/>
    </row>
    <row r="43" spans="2:18" s="18" customFormat="1" ht="47.25" customHeight="1">
      <c r="B43" s="87">
        <v>2773.6</v>
      </c>
      <c r="C43" s="88"/>
      <c r="D43" s="89">
        <f t="shared" si="0"/>
        <v>2646.8</v>
      </c>
      <c r="E43" s="90">
        <f t="shared" si="1"/>
        <v>1465.4</v>
      </c>
      <c r="F43" s="90">
        <v>56.9</v>
      </c>
      <c r="G43" s="90">
        <v>1408.5</v>
      </c>
      <c r="H43" s="91">
        <v>1194.2</v>
      </c>
      <c r="I43" s="91"/>
      <c r="J43" s="89">
        <f t="shared" si="2"/>
        <v>1181.4000000000001</v>
      </c>
      <c r="K43" s="90">
        <f t="shared" si="3"/>
        <v>370.2</v>
      </c>
      <c r="L43" s="90">
        <v>11.9</v>
      </c>
      <c r="M43" s="90">
        <v>358.3</v>
      </c>
      <c r="N43" s="92">
        <v>811.2</v>
      </c>
      <c r="O43" s="190">
        <v>1988</v>
      </c>
      <c r="P43" s="190"/>
      <c r="Q43" s="190" t="s">
        <v>28</v>
      </c>
      <c r="R43" s="191"/>
    </row>
    <row r="44" spans="2:18" s="18" customFormat="1" ht="47.25" customHeight="1">
      <c r="B44" s="93">
        <v>3095.9</v>
      </c>
      <c r="C44" s="94"/>
      <c r="D44" s="95">
        <f>SUM(J44+E44)</f>
        <v>2971.1</v>
      </c>
      <c r="E44" s="96">
        <f>SUM(G44+F44)</f>
        <v>1644.6</v>
      </c>
      <c r="F44" s="96">
        <v>77.5</v>
      </c>
      <c r="G44" s="96">
        <v>1567.1</v>
      </c>
      <c r="H44" s="97">
        <v>1342.1</v>
      </c>
      <c r="I44" s="97"/>
      <c r="J44" s="95">
        <f>SUM(N44+K44)</f>
        <v>1326.5</v>
      </c>
      <c r="K44" s="96">
        <f>SUM(L44+M44)</f>
        <v>455.4</v>
      </c>
      <c r="L44" s="96">
        <v>20</v>
      </c>
      <c r="M44" s="96">
        <v>435.4</v>
      </c>
      <c r="N44" s="98">
        <v>871.1</v>
      </c>
      <c r="O44" s="186">
        <v>1989</v>
      </c>
      <c r="P44" s="186"/>
      <c r="Q44" s="186" t="s">
        <v>47</v>
      </c>
      <c r="R44" s="187"/>
    </row>
    <row r="45" spans="2:18" s="18" customFormat="1" ht="47.25" customHeight="1">
      <c r="B45" s="87">
        <v>3203.8</v>
      </c>
      <c r="C45" s="88"/>
      <c r="D45" s="89">
        <f>SUM(J45+E45)</f>
        <v>3122.6000000000004</v>
      </c>
      <c r="E45" s="90">
        <f>SUM(G45+F45)</f>
        <v>1689.8</v>
      </c>
      <c r="F45" s="90">
        <v>118.6</v>
      </c>
      <c r="G45" s="90">
        <v>1571.2</v>
      </c>
      <c r="H45" s="91">
        <v>1446.2</v>
      </c>
      <c r="I45" s="91"/>
      <c r="J45" s="89">
        <f>SUM(N45+K45)</f>
        <v>1432.8000000000002</v>
      </c>
      <c r="K45" s="90">
        <f>SUM(L45+M45)</f>
        <v>426.6</v>
      </c>
      <c r="L45" s="90">
        <v>20.3</v>
      </c>
      <c r="M45" s="90">
        <v>406.3</v>
      </c>
      <c r="N45" s="92">
        <v>1006.2</v>
      </c>
      <c r="O45" s="190">
        <v>1990</v>
      </c>
      <c r="P45" s="190"/>
      <c r="Q45" s="190" t="s">
        <v>48</v>
      </c>
      <c r="R45" s="191"/>
    </row>
    <row r="46" spans="2:18" s="18" customFormat="1" ht="47.25" customHeight="1">
      <c r="B46" s="93">
        <v>3810.1</v>
      </c>
      <c r="C46" s="94"/>
      <c r="D46" s="95">
        <f>SUM(J46+E46)</f>
        <v>3717.5</v>
      </c>
      <c r="E46" s="96">
        <f>SUM(G46+F46)</f>
        <v>2117.1</v>
      </c>
      <c r="F46" s="96">
        <v>111.9</v>
      </c>
      <c r="G46" s="96">
        <v>2005.2</v>
      </c>
      <c r="H46" s="97">
        <v>1619.6</v>
      </c>
      <c r="I46" s="97"/>
      <c r="J46" s="95">
        <f>SUM(N46+K46)</f>
        <v>1600.4</v>
      </c>
      <c r="K46" s="96">
        <f>SUM(L46+M46)</f>
        <v>608</v>
      </c>
      <c r="L46" s="96">
        <v>24.6</v>
      </c>
      <c r="M46" s="96">
        <v>583.4</v>
      </c>
      <c r="N46" s="98">
        <v>992.4</v>
      </c>
      <c r="O46" s="186">
        <v>1991</v>
      </c>
      <c r="P46" s="186"/>
      <c r="Q46" s="186" t="s">
        <v>49</v>
      </c>
      <c r="R46" s="187"/>
    </row>
    <row r="47" spans="2:18" s="18" customFormat="1" ht="47.25" customHeight="1">
      <c r="B47" s="99">
        <v>4266.8999999999996</v>
      </c>
      <c r="C47" s="100"/>
      <c r="D47" s="101">
        <f>SUM(J47+E47)</f>
        <v>4193</v>
      </c>
      <c r="E47" s="102">
        <f>SUM(G47+F47)</f>
        <v>2476.9</v>
      </c>
      <c r="F47" s="102">
        <v>347.6</v>
      </c>
      <c r="G47" s="102">
        <v>2129.3000000000002</v>
      </c>
      <c r="H47" s="100">
        <v>1743.4</v>
      </c>
      <c r="I47" s="100"/>
      <c r="J47" s="101">
        <f>SUM(N47+K47)</f>
        <v>1716.1</v>
      </c>
      <c r="K47" s="102">
        <f>SUM(L47+M47)</f>
        <v>712.2</v>
      </c>
      <c r="L47" s="102">
        <v>47.6</v>
      </c>
      <c r="M47" s="102">
        <v>664.6</v>
      </c>
      <c r="N47" s="103">
        <v>1003.9</v>
      </c>
      <c r="O47" s="188">
        <v>1992</v>
      </c>
      <c r="P47" s="188"/>
      <c r="Q47" s="188"/>
      <c r="R47" s="189"/>
    </row>
    <row r="48" spans="2:18" s="19" customFormat="1" ht="6" hidden="1" customHeight="1">
      <c r="B48" s="104"/>
      <c r="C48" s="105"/>
      <c r="D48" s="106"/>
      <c r="E48" s="106"/>
      <c r="F48" s="106"/>
      <c r="G48" s="107"/>
      <c r="H48" s="106"/>
      <c r="I48" s="107"/>
      <c r="J48" s="108"/>
      <c r="K48" s="106"/>
      <c r="L48" s="106"/>
      <c r="M48" s="106"/>
      <c r="N48" s="106"/>
      <c r="O48" s="109"/>
      <c r="P48" s="110"/>
      <c r="Q48" s="111"/>
      <c r="R48" s="112"/>
    </row>
    <row r="49" spans="2:19" s="19" customFormat="1" ht="6.95" customHeight="1">
      <c r="B49" s="214"/>
      <c r="C49" s="214"/>
      <c r="D49" s="214"/>
      <c r="E49" s="214"/>
      <c r="F49" s="214"/>
      <c r="G49" s="214"/>
      <c r="H49" s="214"/>
      <c r="I49" s="113"/>
      <c r="J49" s="49"/>
      <c r="K49" s="215"/>
      <c r="L49" s="215"/>
      <c r="M49" s="215"/>
      <c r="N49" s="215"/>
      <c r="O49" s="215"/>
      <c r="P49" s="215"/>
      <c r="Q49" s="215"/>
      <c r="R49" s="215"/>
    </row>
    <row r="50" spans="2:19" s="18" customFormat="1" ht="18" customHeight="1">
      <c r="B50" s="214" t="s">
        <v>97</v>
      </c>
      <c r="C50" s="214"/>
      <c r="D50" s="214"/>
      <c r="E50" s="214"/>
      <c r="F50" s="214"/>
      <c r="G50" s="214"/>
      <c r="H50" s="214"/>
      <c r="I50" s="113"/>
      <c r="J50" s="173"/>
      <c r="K50" s="212" t="s">
        <v>98</v>
      </c>
      <c r="L50" s="212"/>
      <c r="M50" s="212"/>
      <c r="N50" s="212"/>
      <c r="O50" s="212"/>
      <c r="P50" s="212"/>
      <c r="Q50" s="212"/>
      <c r="R50" s="212"/>
      <c r="S50" s="19"/>
    </row>
    <row r="51" spans="2:19" s="18" customFormat="1" ht="18" customHeight="1">
      <c r="B51" s="114" t="s">
        <v>108</v>
      </c>
      <c r="C51" s="114"/>
      <c r="D51" s="114"/>
      <c r="E51" s="114"/>
      <c r="F51" s="114"/>
      <c r="G51" s="114"/>
      <c r="H51" s="114"/>
      <c r="I51" s="115"/>
      <c r="J51" s="213" t="s">
        <v>95</v>
      </c>
      <c r="K51" s="213"/>
      <c r="L51" s="213"/>
      <c r="M51" s="213"/>
      <c r="N51" s="213"/>
      <c r="O51" s="213"/>
      <c r="P51" s="213"/>
      <c r="Q51" s="213"/>
      <c r="R51" s="213"/>
      <c r="S51" s="19"/>
    </row>
    <row r="52" spans="2:19" s="18" customFormat="1" ht="18" customHeight="1">
      <c r="B52" s="171" t="s">
        <v>109</v>
      </c>
      <c r="C52" s="171"/>
      <c r="D52" s="171"/>
      <c r="E52" s="171"/>
      <c r="F52" s="171"/>
      <c r="G52" s="171"/>
      <c r="H52" s="171"/>
      <c r="I52" s="116"/>
      <c r="J52" s="113"/>
      <c r="K52" s="213" t="s">
        <v>96</v>
      </c>
      <c r="L52" s="213"/>
      <c r="M52" s="213"/>
      <c r="N52" s="213"/>
      <c r="O52" s="213"/>
      <c r="P52" s="213"/>
      <c r="Q52" s="213"/>
      <c r="R52" s="213"/>
      <c r="S52" s="19"/>
    </row>
    <row r="53" spans="2:19" s="18" customFormat="1" ht="18" customHeight="1">
      <c r="B53" s="185" t="s">
        <v>113</v>
      </c>
      <c r="C53" s="185"/>
      <c r="D53" s="185"/>
      <c r="E53" s="185"/>
      <c r="F53" s="185"/>
      <c r="G53" s="185"/>
      <c r="H53" s="185"/>
      <c r="I53" s="185"/>
      <c r="J53" s="212" t="s">
        <v>99</v>
      </c>
      <c r="K53" s="212"/>
      <c r="L53" s="212"/>
      <c r="M53" s="212"/>
      <c r="N53" s="212"/>
      <c r="O53" s="212"/>
      <c r="P53" s="212"/>
      <c r="Q53" s="212"/>
      <c r="R53" s="212"/>
      <c r="S53" s="19"/>
    </row>
    <row r="54" spans="2:19" s="18" customFormat="1" ht="18" customHeight="1">
      <c r="B54" s="185" t="s">
        <v>115</v>
      </c>
      <c r="C54" s="185"/>
      <c r="D54" s="185"/>
      <c r="E54" s="185"/>
      <c r="F54" s="185"/>
      <c r="G54" s="185"/>
      <c r="H54" s="185"/>
      <c r="I54" s="185"/>
      <c r="J54" s="185"/>
      <c r="K54" s="212" t="s">
        <v>112</v>
      </c>
      <c r="L54" s="212"/>
      <c r="M54" s="212"/>
      <c r="N54" s="212"/>
      <c r="O54" s="212"/>
      <c r="P54" s="212"/>
      <c r="Q54" s="212"/>
      <c r="R54" s="212"/>
      <c r="S54" s="19"/>
    </row>
    <row r="55" spans="2:19" s="18" customFormat="1" ht="17.100000000000001" customHeight="1">
      <c r="B55" s="175" t="s">
        <v>114</v>
      </c>
      <c r="C55" s="3"/>
      <c r="D55" s="20"/>
      <c r="E55" s="20"/>
      <c r="F55" s="37"/>
      <c r="G55" s="38"/>
      <c r="H55" s="4"/>
      <c r="I55" s="37"/>
      <c r="J55" s="37"/>
      <c r="K55" s="20"/>
      <c r="L55" s="20"/>
      <c r="M55" s="20"/>
      <c r="N55" s="23"/>
      <c r="O55" s="22"/>
      <c r="P55" s="41"/>
      <c r="Q55" s="47"/>
      <c r="R55" s="24"/>
      <c r="S55" s="19"/>
    </row>
    <row r="56" spans="2:19" s="18" customFormat="1" ht="28.35" customHeight="1">
      <c r="B56" s="192" t="s">
        <v>89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"/>
    </row>
    <row r="57" spans="2:19" s="18" customFormat="1" ht="28.35" customHeight="1">
      <c r="B57" s="193" t="s">
        <v>88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"/>
    </row>
    <row r="58" spans="2:19" s="18" customFormat="1" ht="17.100000000000001" customHeight="1">
      <c r="B58" s="48" t="s">
        <v>73</v>
      </c>
      <c r="C58" s="49"/>
      <c r="D58" s="49"/>
      <c r="E58" s="49"/>
      <c r="F58" s="49"/>
      <c r="G58" s="49"/>
      <c r="H58" s="50"/>
      <c r="I58" s="51"/>
      <c r="J58" s="50"/>
      <c r="K58" s="50"/>
      <c r="L58" s="52"/>
      <c r="M58" s="53"/>
      <c r="N58" s="54"/>
      <c r="O58" s="55"/>
      <c r="P58" s="50"/>
      <c r="Q58" s="56" t="s">
        <v>69</v>
      </c>
      <c r="R58" s="57"/>
      <c r="S58" s="19"/>
    </row>
    <row r="59" spans="2:19" s="18" customFormat="1" ht="4.3499999999999996" customHeight="1">
      <c r="B59" s="117"/>
      <c r="C59" s="118"/>
      <c r="D59" s="119"/>
      <c r="E59" s="119"/>
      <c r="F59" s="120"/>
      <c r="G59" s="121"/>
      <c r="H59" s="119"/>
      <c r="I59" s="119"/>
      <c r="J59" s="119"/>
      <c r="K59" s="119"/>
      <c r="L59" s="120"/>
      <c r="M59" s="120"/>
      <c r="N59" s="122"/>
      <c r="O59" s="123"/>
      <c r="P59" s="124"/>
      <c r="Q59" s="125"/>
      <c r="R59" s="125"/>
      <c r="S59" s="19"/>
    </row>
    <row r="60" spans="2:19" s="18" customFormat="1" ht="21.2" customHeight="1">
      <c r="B60" s="126"/>
      <c r="C60" s="127"/>
      <c r="D60" s="198" t="s">
        <v>59</v>
      </c>
      <c r="E60" s="198"/>
      <c r="F60" s="198"/>
      <c r="G60" s="198"/>
      <c r="H60" s="198"/>
      <c r="I60" s="211"/>
      <c r="J60" s="128"/>
      <c r="K60" s="129"/>
      <c r="L60" s="130"/>
      <c r="M60" s="131"/>
      <c r="N60" s="132"/>
      <c r="O60" s="133"/>
      <c r="P60" s="132"/>
      <c r="Q60" s="132"/>
      <c r="R60" s="134"/>
      <c r="S60" s="19"/>
    </row>
    <row r="61" spans="2:19" s="18" customFormat="1" ht="21.2" customHeight="1">
      <c r="B61" s="135"/>
      <c r="C61" s="136"/>
      <c r="D61" s="199"/>
      <c r="E61" s="199"/>
      <c r="F61" s="199"/>
      <c r="G61" s="199"/>
      <c r="H61" s="199"/>
      <c r="I61" s="207"/>
      <c r="J61" s="68"/>
      <c r="K61" s="69" t="s">
        <v>61</v>
      </c>
      <c r="L61" s="67"/>
      <c r="M61" s="70"/>
      <c r="N61" s="137" t="s">
        <v>0</v>
      </c>
      <c r="O61" s="138"/>
      <c r="P61" s="71"/>
      <c r="Q61" s="71" t="s">
        <v>0</v>
      </c>
      <c r="R61" s="139"/>
      <c r="S61" s="19"/>
    </row>
    <row r="62" spans="2:19" s="18" customFormat="1" ht="21.2" customHeight="1">
      <c r="B62" s="135"/>
      <c r="C62" s="136"/>
      <c r="D62" s="200" t="s">
        <v>50</v>
      </c>
      <c r="E62" s="200"/>
      <c r="F62" s="200"/>
      <c r="G62" s="200"/>
      <c r="H62" s="200"/>
      <c r="I62" s="210"/>
      <c r="J62" s="68"/>
      <c r="K62" s="69" t="s">
        <v>71</v>
      </c>
      <c r="L62" s="67"/>
      <c r="M62" s="140"/>
      <c r="N62" s="137"/>
      <c r="O62" s="138"/>
      <c r="P62" s="71"/>
      <c r="Q62" s="71"/>
      <c r="R62" s="139"/>
    </row>
    <row r="63" spans="2:19" s="18" customFormat="1" ht="21.2" customHeight="1">
      <c r="B63" s="135"/>
      <c r="C63" s="136"/>
      <c r="D63" s="141" t="s">
        <v>68</v>
      </c>
      <c r="E63" s="142"/>
      <c r="F63" s="142"/>
      <c r="G63" s="143" t="s">
        <v>63</v>
      </c>
      <c r="H63" s="143"/>
      <c r="I63" s="144"/>
      <c r="J63" s="68"/>
      <c r="K63" s="69" t="s">
        <v>72</v>
      </c>
      <c r="L63" s="67"/>
      <c r="M63" s="140"/>
      <c r="N63" s="137"/>
      <c r="O63" s="138"/>
      <c r="P63" s="71"/>
      <c r="Q63" s="71"/>
      <c r="R63" s="139"/>
    </row>
    <row r="64" spans="2:19" s="27" customFormat="1" ht="21.2" customHeight="1">
      <c r="B64" s="135"/>
      <c r="C64" s="73"/>
      <c r="D64" s="208" t="s">
        <v>75</v>
      </c>
      <c r="E64" s="209"/>
      <c r="F64" s="209"/>
      <c r="G64" s="205" t="s">
        <v>74</v>
      </c>
      <c r="H64" s="205"/>
      <c r="I64" s="206"/>
      <c r="J64" s="68" t="s">
        <v>0</v>
      </c>
      <c r="K64" s="84"/>
      <c r="L64" s="85"/>
      <c r="M64" s="145"/>
      <c r="N64" s="137"/>
      <c r="O64" s="138"/>
      <c r="P64" s="71"/>
      <c r="Q64" s="71"/>
      <c r="R64" s="139"/>
    </row>
    <row r="65" spans="2:18" s="27" customFormat="1" ht="21.2" customHeight="1">
      <c r="B65" s="135"/>
      <c r="C65" s="73"/>
      <c r="D65" s="207" t="s">
        <v>100</v>
      </c>
      <c r="E65" s="205"/>
      <c r="F65" s="205"/>
      <c r="G65" s="205" t="s">
        <v>70</v>
      </c>
      <c r="H65" s="205"/>
      <c r="I65" s="206"/>
      <c r="J65" s="75"/>
      <c r="K65" s="146"/>
      <c r="L65" s="147"/>
      <c r="M65" s="147"/>
      <c r="N65" s="76"/>
      <c r="O65" s="138"/>
      <c r="P65" s="71"/>
      <c r="Q65" s="71" t="s">
        <v>0</v>
      </c>
      <c r="R65" s="139"/>
    </row>
    <row r="66" spans="2:18" s="18" customFormat="1" ht="21.2" customHeight="1">
      <c r="B66" s="148" t="s">
        <v>3</v>
      </c>
      <c r="C66" s="76"/>
      <c r="D66" s="147"/>
      <c r="E66" s="147"/>
      <c r="F66" s="146" t="s">
        <v>56</v>
      </c>
      <c r="G66" s="147"/>
      <c r="H66" s="147"/>
      <c r="I66" s="146" t="s">
        <v>62</v>
      </c>
      <c r="J66" s="68" t="s">
        <v>3</v>
      </c>
      <c r="K66" s="76"/>
      <c r="L66" s="76"/>
      <c r="M66" s="73" t="s">
        <v>62</v>
      </c>
      <c r="N66" s="138" t="s">
        <v>0</v>
      </c>
      <c r="O66" s="138"/>
      <c r="P66" s="71"/>
      <c r="Q66" s="71"/>
      <c r="R66" s="139"/>
    </row>
    <row r="67" spans="2:18" s="18" customFormat="1" ht="21.2" customHeight="1">
      <c r="B67" s="148" t="s">
        <v>5</v>
      </c>
      <c r="C67" s="149"/>
      <c r="D67" s="73" t="s">
        <v>51</v>
      </c>
      <c r="E67" s="73" t="s">
        <v>51</v>
      </c>
      <c r="F67" s="73" t="s">
        <v>7</v>
      </c>
      <c r="G67" s="73" t="s">
        <v>51</v>
      </c>
      <c r="H67" s="73" t="s">
        <v>51</v>
      </c>
      <c r="I67" s="73" t="s">
        <v>7</v>
      </c>
      <c r="J67" s="68" t="s">
        <v>5</v>
      </c>
      <c r="K67" s="73" t="s">
        <v>51</v>
      </c>
      <c r="L67" s="73" t="s">
        <v>51</v>
      </c>
      <c r="M67" s="73" t="s">
        <v>7</v>
      </c>
      <c r="N67" s="138" t="s">
        <v>5</v>
      </c>
      <c r="O67" s="69" t="s">
        <v>8</v>
      </c>
      <c r="P67" s="67"/>
      <c r="Q67" s="67"/>
      <c r="R67" s="150"/>
    </row>
    <row r="68" spans="2:18" s="18" customFormat="1" ht="21.2" customHeight="1">
      <c r="B68" s="148" t="s">
        <v>60</v>
      </c>
      <c r="C68" s="73" t="s">
        <v>9</v>
      </c>
      <c r="D68" s="73" t="s">
        <v>52</v>
      </c>
      <c r="E68" s="73" t="s">
        <v>10</v>
      </c>
      <c r="F68" s="73" t="s">
        <v>57</v>
      </c>
      <c r="G68" s="73" t="s">
        <v>52</v>
      </c>
      <c r="H68" s="73" t="s">
        <v>10</v>
      </c>
      <c r="I68" s="73" t="s">
        <v>57</v>
      </c>
      <c r="J68" s="68" t="s">
        <v>58</v>
      </c>
      <c r="K68" s="73" t="s">
        <v>52</v>
      </c>
      <c r="L68" s="73" t="s">
        <v>10</v>
      </c>
      <c r="M68" s="73" t="s">
        <v>57</v>
      </c>
      <c r="N68" s="138" t="s">
        <v>11</v>
      </c>
      <c r="O68" s="69" t="s">
        <v>12</v>
      </c>
      <c r="P68" s="67"/>
      <c r="Q68" s="67"/>
      <c r="R68" s="150"/>
    </row>
    <row r="69" spans="2:18" s="18" customFormat="1" ht="21.2" customHeight="1">
      <c r="B69" s="148"/>
      <c r="C69" s="149"/>
      <c r="D69" s="73"/>
      <c r="E69" s="76"/>
      <c r="F69" s="73"/>
      <c r="G69" s="73"/>
      <c r="H69" s="76"/>
      <c r="I69" s="73"/>
      <c r="J69" s="75"/>
      <c r="K69" s="73"/>
      <c r="L69" s="76"/>
      <c r="M69" s="73"/>
      <c r="N69" s="138"/>
      <c r="O69" s="138"/>
      <c r="P69" s="71"/>
      <c r="Q69" s="71"/>
      <c r="R69" s="139"/>
    </row>
    <row r="70" spans="2:18" s="27" customFormat="1" ht="21.2" customHeight="1">
      <c r="B70" s="148" t="s">
        <v>14</v>
      </c>
      <c r="C70" s="73"/>
      <c r="D70" s="73"/>
      <c r="E70" s="73"/>
      <c r="F70" s="73" t="s">
        <v>16</v>
      </c>
      <c r="G70" s="73"/>
      <c r="H70" s="73"/>
      <c r="I70" s="73" t="s">
        <v>16</v>
      </c>
      <c r="J70" s="68" t="s">
        <v>14</v>
      </c>
      <c r="K70" s="73"/>
      <c r="L70" s="73"/>
      <c r="M70" s="73" t="s">
        <v>16</v>
      </c>
      <c r="N70" s="138" t="s">
        <v>17</v>
      </c>
      <c r="O70" s="69"/>
      <c r="P70" s="67"/>
      <c r="Q70" s="67"/>
      <c r="R70" s="150"/>
    </row>
    <row r="71" spans="2:18" s="27" customFormat="1" ht="21.2" customHeight="1">
      <c r="B71" s="148" t="s">
        <v>19</v>
      </c>
      <c r="C71" s="73"/>
      <c r="D71" s="73" t="s">
        <v>53</v>
      </c>
      <c r="E71" s="73" t="s">
        <v>20</v>
      </c>
      <c r="F71" s="73" t="s">
        <v>21</v>
      </c>
      <c r="G71" s="73" t="s">
        <v>53</v>
      </c>
      <c r="H71" s="73" t="s">
        <v>20</v>
      </c>
      <c r="I71" s="73" t="s">
        <v>21</v>
      </c>
      <c r="J71" s="68" t="s">
        <v>19</v>
      </c>
      <c r="K71" s="73" t="s">
        <v>53</v>
      </c>
      <c r="L71" s="73" t="s">
        <v>20</v>
      </c>
      <c r="M71" s="73" t="s">
        <v>21</v>
      </c>
      <c r="N71" s="138" t="s">
        <v>90</v>
      </c>
      <c r="O71" s="69" t="s">
        <v>18</v>
      </c>
      <c r="P71" s="67"/>
      <c r="Q71" s="67"/>
      <c r="R71" s="150"/>
    </row>
    <row r="72" spans="2:18" s="27" customFormat="1" ht="21.2" customHeight="1">
      <c r="B72" s="151" t="s">
        <v>23</v>
      </c>
      <c r="C72" s="82" t="s">
        <v>24</v>
      </c>
      <c r="D72" s="82" t="s">
        <v>54</v>
      </c>
      <c r="E72" s="82" t="s">
        <v>25</v>
      </c>
      <c r="F72" s="82" t="s">
        <v>26</v>
      </c>
      <c r="G72" s="82" t="s">
        <v>54</v>
      </c>
      <c r="H72" s="82" t="s">
        <v>25</v>
      </c>
      <c r="I72" s="82" t="s">
        <v>26</v>
      </c>
      <c r="J72" s="81" t="s">
        <v>27</v>
      </c>
      <c r="K72" s="82" t="s">
        <v>54</v>
      </c>
      <c r="L72" s="82" t="s">
        <v>25</v>
      </c>
      <c r="M72" s="82" t="s">
        <v>26</v>
      </c>
      <c r="N72" s="84" t="s">
        <v>91</v>
      </c>
      <c r="O72" s="83" t="s">
        <v>22</v>
      </c>
      <c r="P72" s="80"/>
      <c r="Q72" s="80"/>
      <c r="R72" s="174"/>
    </row>
    <row r="73" spans="2:18" s="18" customFormat="1" ht="63.75" customHeight="1">
      <c r="B73" s="152">
        <f t="shared" ref="B73:B78" si="4">C73+J73</f>
        <v>4481.7999999999993</v>
      </c>
      <c r="C73" s="153">
        <f t="shared" ref="C73:C78" si="5">I73+H73+G73+F73+E73+D73</f>
        <v>2751.6999999999994</v>
      </c>
      <c r="D73" s="154">
        <f>33.4+1.8</f>
        <v>35.199999999999996</v>
      </c>
      <c r="E73" s="154">
        <f>289.5+7.7</f>
        <v>297.2</v>
      </c>
      <c r="F73" s="154">
        <f>1915.2+411.9</f>
        <v>2327.1</v>
      </c>
      <c r="G73" s="154">
        <v>0.6</v>
      </c>
      <c r="H73" s="154">
        <v>6.1</v>
      </c>
      <c r="I73" s="154">
        <v>85.5</v>
      </c>
      <c r="J73" s="155">
        <f t="shared" ref="J73:J78" si="6">SUM(N73+M73+L73+K73)</f>
        <v>1730.1000000000001</v>
      </c>
      <c r="K73" s="154">
        <v>6</v>
      </c>
      <c r="L73" s="154">
        <v>61.2</v>
      </c>
      <c r="M73" s="154">
        <v>615</v>
      </c>
      <c r="N73" s="156">
        <v>1047.9000000000001</v>
      </c>
      <c r="O73" s="216" t="s">
        <v>110</v>
      </c>
      <c r="P73" s="217"/>
      <c r="Q73" s="217"/>
      <c r="R73" s="218"/>
    </row>
    <row r="74" spans="2:18" s="43" customFormat="1" ht="63.75" customHeight="1">
      <c r="B74" s="157">
        <f t="shared" si="4"/>
        <v>4841.5</v>
      </c>
      <c r="C74" s="158">
        <f t="shared" si="5"/>
        <v>3095.2999999999997</v>
      </c>
      <c r="D74" s="96">
        <f>29.3+3.4</f>
        <v>32.700000000000003</v>
      </c>
      <c r="E74" s="96">
        <f>365.5+12.7</f>
        <v>378.2</v>
      </c>
      <c r="F74" s="96">
        <f>2112.2+467.4</f>
        <v>2579.6</v>
      </c>
      <c r="G74" s="96">
        <v>2.2999999999999998</v>
      </c>
      <c r="H74" s="96">
        <v>12.6</v>
      </c>
      <c r="I74" s="96">
        <v>89.9</v>
      </c>
      <c r="J74" s="95">
        <f t="shared" si="6"/>
        <v>1746.1999999999998</v>
      </c>
      <c r="K74" s="96">
        <v>5.3</v>
      </c>
      <c r="L74" s="96">
        <v>37.6</v>
      </c>
      <c r="M74" s="96">
        <v>630.70000000000005</v>
      </c>
      <c r="N74" s="98">
        <v>1072.5999999999999</v>
      </c>
      <c r="O74" s="186">
        <v>1994</v>
      </c>
      <c r="P74" s="186"/>
      <c r="Q74" s="186"/>
      <c r="R74" s="187"/>
    </row>
    <row r="75" spans="2:18" s="19" customFormat="1" ht="63.75" customHeight="1">
      <c r="B75" s="152">
        <f t="shared" si="4"/>
        <v>5159.8</v>
      </c>
      <c r="C75" s="153">
        <f t="shared" si="5"/>
        <v>3414.2</v>
      </c>
      <c r="D75" s="154">
        <f>33.4+3.9</f>
        <v>37.299999999999997</v>
      </c>
      <c r="E75" s="154">
        <f>436.4+8.4</f>
        <v>444.79999999999995</v>
      </c>
      <c r="F75" s="154">
        <f>2161.8+656.2</f>
        <v>2818</v>
      </c>
      <c r="G75" s="154">
        <v>0.8</v>
      </c>
      <c r="H75" s="154">
        <v>14.2</v>
      </c>
      <c r="I75" s="154">
        <v>99.1</v>
      </c>
      <c r="J75" s="155">
        <f t="shared" si="6"/>
        <v>1745.6000000000001</v>
      </c>
      <c r="K75" s="154">
        <v>25.6</v>
      </c>
      <c r="L75" s="154">
        <v>48.2</v>
      </c>
      <c r="M75" s="154">
        <v>620.9</v>
      </c>
      <c r="N75" s="156">
        <v>1050.9000000000001</v>
      </c>
      <c r="O75" s="190">
        <v>1995</v>
      </c>
      <c r="P75" s="190"/>
      <c r="Q75" s="190"/>
      <c r="R75" s="191"/>
    </row>
    <row r="76" spans="2:18" s="42" customFormat="1" ht="63.75" customHeight="1">
      <c r="B76" s="157">
        <f t="shared" si="4"/>
        <v>5175.3</v>
      </c>
      <c r="C76" s="158">
        <f t="shared" si="5"/>
        <v>3636.1000000000004</v>
      </c>
      <c r="D76" s="96">
        <f>43.3+3.1</f>
        <v>46.4</v>
      </c>
      <c r="E76" s="159">
        <f>504.8+3.4</f>
        <v>508.2</v>
      </c>
      <c r="F76" s="159">
        <f>2252.4+723.7</f>
        <v>2976.1000000000004</v>
      </c>
      <c r="G76" s="159">
        <v>1.6</v>
      </c>
      <c r="H76" s="159">
        <v>9.8000000000000007</v>
      </c>
      <c r="I76" s="159">
        <v>94</v>
      </c>
      <c r="J76" s="160">
        <f t="shared" si="6"/>
        <v>1539.2</v>
      </c>
      <c r="K76" s="159">
        <v>4.5999999999999996</v>
      </c>
      <c r="L76" s="159">
        <v>33.299999999999997</v>
      </c>
      <c r="M76" s="159">
        <v>549.1</v>
      </c>
      <c r="N76" s="98">
        <v>952.2</v>
      </c>
      <c r="O76" s="186">
        <v>1996</v>
      </c>
      <c r="P76" s="186"/>
      <c r="Q76" s="186"/>
      <c r="R76" s="187"/>
    </row>
    <row r="77" spans="2:18" s="19" customFormat="1" ht="63.75" customHeight="1">
      <c r="B77" s="152">
        <f t="shared" si="4"/>
        <v>5576.6</v>
      </c>
      <c r="C77" s="153">
        <f t="shared" si="5"/>
        <v>3934.2000000000003</v>
      </c>
      <c r="D77" s="154">
        <f>48.7+3.3</f>
        <v>52</v>
      </c>
      <c r="E77" s="154">
        <f>523.3+8.8</f>
        <v>532.09999999999991</v>
      </c>
      <c r="F77" s="154">
        <f>2523+708.8</f>
        <v>3231.8</v>
      </c>
      <c r="G77" s="154">
        <v>1.2</v>
      </c>
      <c r="H77" s="154">
        <v>12.3</v>
      </c>
      <c r="I77" s="154">
        <v>104.8</v>
      </c>
      <c r="J77" s="155">
        <f t="shared" si="6"/>
        <v>1642.3999999999999</v>
      </c>
      <c r="K77" s="154">
        <v>5.0999999999999996</v>
      </c>
      <c r="L77" s="154">
        <v>55.8</v>
      </c>
      <c r="M77" s="154">
        <v>593.9</v>
      </c>
      <c r="N77" s="156">
        <v>987.6</v>
      </c>
      <c r="O77" s="190">
        <v>1997</v>
      </c>
      <c r="P77" s="190"/>
      <c r="Q77" s="190"/>
      <c r="R77" s="191"/>
    </row>
    <row r="78" spans="2:18" s="42" customFormat="1" ht="63.75" customHeight="1">
      <c r="B78" s="157">
        <f t="shared" si="4"/>
        <v>6003.2</v>
      </c>
      <c r="C78" s="158">
        <f t="shared" si="5"/>
        <v>4378</v>
      </c>
      <c r="D78" s="96">
        <v>128.5</v>
      </c>
      <c r="E78" s="159">
        <v>696.6</v>
      </c>
      <c r="F78" s="159">
        <v>3404.1</v>
      </c>
      <c r="G78" s="159">
        <v>2.4</v>
      </c>
      <c r="H78" s="159">
        <v>10.4</v>
      </c>
      <c r="I78" s="159">
        <v>136</v>
      </c>
      <c r="J78" s="160">
        <f t="shared" si="6"/>
        <v>1625.2</v>
      </c>
      <c r="K78" s="159">
        <v>7.1</v>
      </c>
      <c r="L78" s="159">
        <v>65.2</v>
      </c>
      <c r="M78" s="159">
        <v>600.1</v>
      </c>
      <c r="N78" s="98">
        <v>952.8</v>
      </c>
      <c r="O78" s="186">
        <v>1998</v>
      </c>
      <c r="P78" s="186"/>
      <c r="Q78" s="186"/>
      <c r="R78" s="187"/>
    </row>
    <row r="79" spans="2:18" s="19" customFormat="1" ht="63.75" customHeight="1">
      <c r="B79" s="152">
        <f t="shared" ref="B79:B87" si="7">C79+J79</f>
        <v>6026.3</v>
      </c>
      <c r="C79" s="153">
        <f t="shared" ref="C79:C87" si="8">I79+H79+G79+F79+E79+D79</f>
        <v>4412.4000000000005</v>
      </c>
      <c r="D79" s="154">
        <f>25.4+4.2</f>
        <v>29.599999999999998</v>
      </c>
      <c r="E79" s="154">
        <f>727.9+34.2</f>
        <v>762.1</v>
      </c>
      <c r="F79" s="154">
        <f>2526.4+946.4</f>
        <v>3472.8</v>
      </c>
      <c r="G79" s="154">
        <v>1.3</v>
      </c>
      <c r="H79" s="154">
        <v>8.1999999999999993</v>
      </c>
      <c r="I79" s="154">
        <v>138.4</v>
      </c>
      <c r="J79" s="155">
        <f t="shared" ref="J79:J87" si="9">SUM(N79+M79+L79+K79)</f>
        <v>1613.8999999999999</v>
      </c>
      <c r="K79" s="154">
        <v>1.2</v>
      </c>
      <c r="L79" s="154">
        <v>55.5</v>
      </c>
      <c r="M79" s="154">
        <v>604.4</v>
      </c>
      <c r="N79" s="156">
        <v>952.8</v>
      </c>
      <c r="O79" s="216" t="s">
        <v>111</v>
      </c>
      <c r="P79" s="217"/>
      <c r="Q79" s="217"/>
      <c r="R79" s="218"/>
    </row>
    <row r="80" spans="2:18" s="42" customFormat="1" ht="63.75" customHeight="1">
      <c r="B80" s="157">
        <f t="shared" si="7"/>
        <v>6747.5999999999995</v>
      </c>
      <c r="C80" s="158">
        <f t="shared" si="8"/>
        <v>4970.5</v>
      </c>
      <c r="D80" s="96">
        <f>3.4+33</f>
        <v>36.4</v>
      </c>
      <c r="E80" s="159">
        <f>32.3+906.5</f>
        <v>938.8</v>
      </c>
      <c r="F80" s="159">
        <f>1087.2+2747.9</f>
        <v>3835.1000000000004</v>
      </c>
      <c r="G80" s="159">
        <v>1.4</v>
      </c>
      <c r="H80" s="159">
        <v>10.9</v>
      </c>
      <c r="I80" s="159">
        <v>147.9</v>
      </c>
      <c r="J80" s="160">
        <f t="shared" si="9"/>
        <v>1777.0999999999997</v>
      </c>
      <c r="K80" s="159">
        <v>3.3</v>
      </c>
      <c r="L80" s="159">
        <v>58.1</v>
      </c>
      <c r="M80" s="159">
        <v>609.1</v>
      </c>
      <c r="N80" s="98">
        <v>1106.5999999999999</v>
      </c>
      <c r="O80" s="186">
        <v>1999</v>
      </c>
      <c r="P80" s="186"/>
      <c r="Q80" s="186"/>
      <c r="R80" s="187"/>
    </row>
    <row r="81" spans="2:32" s="19" customFormat="1" ht="63.75" customHeight="1">
      <c r="B81" s="152">
        <f t="shared" si="7"/>
        <v>7434.6999999999989</v>
      </c>
      <c r="C81" s="153">
        <f t="shared" si="8"/>
        <v>5407.9999999999991</v>
      </c>
      <c r="D81" s="154">
        <f>6.8+47.6</f>
        <v>54.4</v>
      </c>
      <c r="E81" s="154">
        <f>68.9+914.8</f>
        <v>983.69999999999993</v>
      </c>
      <c r="F81" s="154">
        <f>1331.6+2862.3</f>
        <v>4193.8999999999996</v>
      </c>
      <c r="G81" s="154">
        <v>0.7</v>
      </c>
      <c r="H81" s="154">
        <v>15.1</v>
      </c>
      <c r="I81" s="154">
        <v>160.19999999999999</v>
      </c>
      <c r="J81" s="155">
        <f t="shared" si="9"/>
        <v>2026.7</v>
      </c>
      <c r="K81" s="154">
        <v>7.3</v>
      </c>
      <c r="L81" s="154">
        <v>58.6</v>
      </c>
      <c r="M81" s="154">
        <v>720.9</v>
      </c>
      <c r="N81" s="156">
        <v>1239.9000000000001</v>
      </c>
      <c r="O81" s="190">
        <v>2000</v>
      </c>
      <c r="P81" s="190"/>
      <c r="Q81" s="190" t="s">
        <v>64</v>
      </c>
      <c r="R81" s="191"/>
    </row>
    <row r="82" spans="2:32" s="42" customFormat="1" ht="63.75" customHeight="1">
      <c r="B82" s="157">
        <f t="shared" si="7"/>
        <v>7866.1</v>
      </c>
      <c r="C82" s="158">
        <f t="shared" si="8"/>
        <v>5746.4000000000005</v>
      </c>
      <c r="D82" s="96">
        <f>7.6+60.9</f>
        <v>68.5</v>
      </c>
      <c r="E82" s="159">
        <f>63.4+892.4</f>
        <v>955.8</v>
      </c>
      <c r="F82" s="159">
        <f>1500.2+2972.3</f>
        <v>4472.5</v>
      </c>
      <c r="G82" s="159">
        <v>1</v>
      </c>
      <c r="H82" s="159">
        <v>17.5</v>
      </c>
      <c r="I82" s="159">
        <v>231.1</v>
      </c>
      <c r="J82" s="160">
        <f t="shared" si="9"/>
        <v>2119.7000000000003</v>
      </c>
      <c r="K82" s="159">
        <v>7.9</v>
      </c>
      <c r="L82" s="159">
        <v>103.7</v>
      </c>
      <c r="M82" s="159">
        <v>805.7</v>
      </c>
      <c r="N82" s="98">
        <v>1202.4000000000001</v>
      </c>
      <c r="O82" s="186">
        <v>2001</v>
      </c>
      <c r="P82" s="186"/>
      <c r="Q82" s="186" t="s">
        <v>65</v>
      </c>
      <c r="R82" s="187"/>
    </row>
    <row r="83" spans="2:32" s="19" customFormat="1" ht="63.75" customHeight="1">
      <c r="B83" s="152">
        <f t="shared" si="7"/>
        <v>8419.1</v>
      </c>
      <c r="C83" s="153">
        <f t="shared" si="8"/>
        <v>6102.9</v>
      </c>
      <c r="D83" s="154">
        <f>7.3+56.6</f>
        <v>63.9</v>
      </c>
      <c r="E83" s="154">
        <f>49.3+800.8</f>
        <v>850.09999999999991</v>
      </c>
      <c r="F83" s="154">
        <f>1557.2+3297</f>
        <v>4854.2</v>
      </c>
      <c r="G83" s="154">
        <v>1.4</v>
      </c>
      <c r="H83" s="154">
        <v>12</v>
      </c>
      <c r="I83" s="154">
        <v>321.3</v>
      </c>
      <c r="J83" s="155">
        <f t="shared" si="9"/>
        <v>2316.2000000000003</v>
      </c>
      <c r="K83" s="154">
        <v>7.3</v>
      </c>
      <c r="L83" s="154">
        <v>137</v>
      </c>
      <c r="M83" s="154">
        <v>919.2</v>
      </c>
      <c r="N83" s="156">
        <v>1252.7</v>
      </c>
      <c r="O83" s="190">
        <v>2002</v>
      </c>
      <c r="P83" s="190"/>
      <c r="Q83" s="190" t="s">
        <v>66</v>
      </c>
      <c r="R83" s="191"/>
    </row>
    <row r="84" spans="2:32" s="42" customFormat="1" ht="63.75" customHeight="1">
      <c r="B84" s="157">
        <f t="shared" si="7"/>
        <v>9465.7000000000007</v>
      </c>
      <c r="C84" s="161">
        <f t="shared" si="8"/>
        <v>6545.7999999999993</v>
      </c>
      <c r="D84" s="159">
        <f>8.2+69.7</f>
        <v>77.900000000000006</v>
      </c>
      <c r="E84" s="159">
        <f>108.8+614.7</f>
        <v>723.5</v>
      </c>
      <c r="F84" s="159">
        <f>1623.6+3638.9</f>
        <v>5262.5</v>
      </c>
      <c r="G84" s="159">
        <v>1.4</v>
      </c>
      <c r="H84" s="159">
        <v>39.299999999999997</v>
      </c>
      <c r="I84" s="159">
        <v>441.2</v>
      </c>
      <c r="J84" s="160">
        <f t="shared" si="9"/>
        <v>2919.9000000000005</v>
      </c>
      <c r="K84" s="159">
        <v>10.3</v>
      </c>
      <c r="L84" s="159">
        <v>196.5</v>
      </c>
      <c r="M84" s="159">
        <v>1269.4000000000001</v>
      </c>
      <c r="N84" s="98">
        <v>1443.7</v>
      </c>
      <c r="O84" s="186">
        <v>2003</v>
      </c>
      <c r="P84" s="186"/>
      <c r="Q84" s="186" t="s">
        <v>67</v>
      </c>
      <c r="R84" s="187"/>
    </row>
    <row r="85" spans="2:32" s="19" customFormat="1" ht="63.75" customHeight="1">
      <c r="B85" s="152">
        <f>C85+J85</f>
        <v>10571.4</v>
      </c>
      <c r="C85" s="153">
        <f>I85+H85+G85+F85+E85+D85</f>
        <v>7378.4</v>
      </c>
      <c r="D85" s="154">
        <f>81.1+9.6</f>
        <v>90.699999999999989</v>
      </c>
      <c r="E85" s="154">
        <f>618.1+140</f>
        <v>758.1</v>
      </c>
      <c r="F85" s="154">
        <f>3977.5+1915.2</f>
        <v>5892.7</v>
      </c>
      <c r="G85" s="154">
        <v>1.1000000000000001</v>
      </c>
      <c r="H85" s="154">
        <v>67.900000000000006</v>
      </c>
      <c r="I85" s="154">
        <v>567.9</v>
      </c>
      <c r="J85" s="155">
        <f>SUM(N85+M85+L85+K85)</f>
        <v>3193.0000000000005</v>
      </c>
      <c r="K85" s="154">
        <v>11.4</v>
      </c>
      <c r="L85" s="154">
        <v>130</v>
      </c>
      <c r="M85" s="154">
        <v>1637.2</v>
      </c>
      <c r="N85" s="156">
        <v>1414.4</v>
      </c>
      <c r="O85" s="190">
        <v>2004</v>
      </c>
      <c r="P85" s="190"/>
      <c r="Q85" s="190" t="s">
        <v>76</v>
      </c>
      <c r="R85" s="191"/>
    </row>
    <row r="86" spans="2:32" s="42" customFormat="1" ht="63.75" customHeight="1">
      <c r="B86" s="157">
        <f t="shared" si="7"/>
        <v>12363.999999999998</v>
      </c>
      <c r="C86" s="161">
        <f t="shared" si="8"/>
        <v>8302.6999999999989</v>
      </c>
      <c r="D86" s="159">
        <v>67.400000000000006</v>
      </c>
      <c r="E86" s="159">
        <v>734.1</v>
      </c>
      <c r="F86" s="159">
        <v>6879.3</v>
      </c>
      <c r="G86" s="159">
        <v>1.4</v>
      </c>
      <c r="H86" s="159">
        <v>50.7</v>
      </c>
      <c r="I86" s="159">
        <v>569.79999999999995</v>
      </c>
      <c r="J86" s="160">
        <f t="shared" si="9"/>
        <v>4061.2999999999993</v>
      </c>
      <c r="K86" s="159">
        <v>12.2</v>
      </c>
      <c r="L86" s="159">
        <v>104.2</v>
      </c>
      <c r="M86" s="159">
        <v>2287.6</v>
      </c>
      <c r="N86" s="98">
        <v>1657.3</v>
      </c>
      <c r="O86" s="186">
        <v>2005</v>
      </c>
      <c r="P86" s="186"/>
      <c r="Q86" s="186" t="s">
        <v>77</v>
      </c>
      <c r="R86" s="187"/>
    </row>
    <row r="87" spans="2:32" s="19" customFormat="1" ht="63.75" customHeight="1">
      <c r="B87" s="152">
        <f t="shared" si="7"/>
        <v>14109.7</v>
      </c>
      <c r="C87" s="153">
        <f t="shared" si="8"/>
        <v>9543.3000000000011</v>
      </c>
      <c r="D87" s="154">
        <f>77.8+6.3</f>
        <v>84.1</v>
      </c>
      <c r="E87" s="154">
        <f>494.7+96.5</f>
        <v>591.20000000000005</v>
      </c>
      <c r="F87" s="154">
        <f>8183</f>
        <v>8183</v>
      </c>
      <c r="G87" s="154">
        <v>1.7</v>
      </c>
      <c r="H87" s="154">
        <v>35</v>
      </c>
      <c r="I87" s="154">
        <v>648.29999999999995</v>
      </c>
      <c r="J87" s="155">
        <f t="shared" si="9"/>
        <v>4566.3999999999996</v>
      </c>
      <c r="K87" s="154">
        <v>10.9</v>
      </c>
      <c r="L87" s="154">
        <v>92.6</v>
      </c>
      <c r="M87" s="154">
        <v>2435.5</v>
      </c>
      <c r="N87" s="156">
        <v>2027.4</v>
      </c>
      <c r="O87" s="190">
        <v>2006</v>
      </c>
      <c r="P87" s="190"/>
      <c r="Q87" s="190" t="s">
        <v>78</v>
      </c>
      <c r="R87" s="191"/>
    </row>
    <row r="88" spans="2:32" s="19" customFormat="1" ht="63.75" customHeight="1">
      <c r="B88" s="157">
        <f t="shared" ref="B88:B94" si="10">C88+J88</f>
        <v>15606.900000000001</v>
      </c>
      <c r="C88" s="161">
        <f t="shared" ref="C88:C93" si="11">I88+H88+G88+F88+E88+D88</f>
        <v>10773.7</v>
      </c>
      <c r="D88" s="159">
        <f>71.6+14.1</f>
        <v>85.699999999999989</v>
      </c>
      <c r="E88" s="159">
        <f>589+120.2</f>
        <v>709.2</v>
      </c>
      <c r="F88" s="159">
        <f>9228.3</f>
        <v>9228.2999999999993</v>
      </c>
      <c r="G88" s="159">
        <v>4.4000000000000004</v>
      </c>
      <c r="H88" s="159">
        <v>48.8</v>
      </c>
      <c r="I88" s="159">
        <v>697.3</v>
      </c>
      <c r="J88" s="160">
        <f t="shared" ref="J88:J94" si="12">SUM(N88+M88+L88+K88)</f>
        <v>4833.2</v>
      </c>
      <c r="K88" s="159">
        <v>12.3</v>
      </c>
      <c r="L88" s="159">
        <v>75</v>
      </c>
      <c r="M88" s="159">
        <v>2573.5</v>
      </c>
      <c r="N88" s="98">
        <v>2172.4</v>
      </c>
      <c r="O88" s="186">
        <v>2007</v>
      </c>
      <c r="P88" s="186"/>
      <c r="Q88" s="186" t="s">
        <v>79</v>
      </c>
      <c r="R88" s="187"/>
    </row>
    <row r="89" spans="2:32" s="19" customFormat="1" ht="63.75" customHeight="1">
      <c r="B89" s="152">
        <f>C89+J89</f>
        <v>18304.300000000003</v>
      </c>
      <c r="C89" s="153">
        <f t="shared" si="11"/>
        <v>12731.300000000001</v>
      </c>
      <c r="D89" s="154">
        <v>85.8</v>
      </c>
      <c r="E89" s="154">
        <v>870.9</v>
      </c>
      <c r="F89" s="154">
        <f>8528.2+2164.2</f>
        <v>10692.400000000001</v>
      </c>
      <c r="G89" s="154">
        <v>32.6</v>
      </c>
      <c r="H89" s="154">
        <v>222.6</v>
      </c>
      <c r="I89" s="154">
        <v>827</v>
      </c>
      <c r="J89" s="155">
        <f t="shared" si="12"/>
        <v>5573</v>
      </c>
      <c r="K89" s="154">
        <v>21.3</v>
      </c>
      <c r="L89" s="154">
        <v>114.2</v>
      </c>
      <c r="M89" s="154">
        <v>2772.7</v>
      </c>
      <c r="N89" s="156">
        <v>2664.8</v>
      </c>
      <c r="O89" s="190">
        <v>2008</v>
      </c>
      <c r="P89" s="190"/>
      <c r="Q89" s="190" t="s">
        <v>80</v>
      </c>
      <c r="R89" s="191"/>
      <c r="S89" s="46"/>
      <c r="T89" s="46"/>
      <c r="U89" s="45"/>
    </row>
    <row r="90" spans="2:32" s="19" customFormat="1" ht="63.75" customHeight="1">
      <c r="B90" s="157">
        <f t="shared" si="10"/>
        <v>20013.300000000003</v>
      </c>
      <c r="C90" s="161">
        <f t="shared" si="11"/>
        <v>13973.800000000001</v>
      </c>
      <c r="D90" s="159">
        <v>116.1</v>
      </c>
      <c r="E90" s="159">
        <f>28.9+708.7</f>
        <v>737.6</v>
      </c>
      <c r="F90" s="159">
        <f>10266.1+1697.1</f>
        <v>11963.2</v>
      </c>
      <c r="G90" s="159">
        <v>25.2</v>
      </c>
      <c r="H90" s="159">
        <v>72.2</v>
      </c>
      <c r="I90" s="159">
        <v>1059.5</v>
      </c>
      <c r="J90" s="160">
        <f t="shared" si="12"/>
        <v>6039.5</v>
      </c>
      <c r="K90" s="159">
        <v>19.899999999999999</v>
      </c>
      <c r="L90" s="159">
        <v>106.1</v>
      </c>
      <c r="M90" s="159">
        <v>3234</v>
      </c>
      <c r="N90" s="98">
        <v>2679.5</v>
      </c>
      <c r="O90" s="186">
        <v>2009</v>
      </c>
      <c r="P90" s="186"/>
      <c r="Q90" s="186" t="s">
        <v>81</v>
      </c>
      <c r="R90" s="187"/>
      <c r="S90" s="46"/>
      <c r="T90" s="46"/>
      <c r="U90" s="45"/>
    </row>
    <row r="91" spans="2:32" s="19" customFormat="1" ht="63.75" customHeight="1">
      <c r="B91" s="152">
        <f t="shared" si="10"/>
        <v>22306.7</v>
      </c>
      <c r="C91" s="153">
        <f t="shared" si="11"/>
        <v>15756.7</v>
      </c>
      <c r="D91" s="154">
        <f>134.6+10.3</f>
        <v>144.9</v>
      </c>
      <c r="E91" s="154">
        <f>775.9+17.6</f>
        <v>793.5</v>
      </c>
      <c r="F91" s="154">
        <f>11614.7+1824.2</f>
        <v>13438.900000000001</v>
      </c>
      <c r="G91" s="154">
        <v>40.5</v>
      </c>
      <c r="H91" s="154">
        <v>33.6</v>
      </c>
      <c r="I91" s="154">
        <v>1305.3</v>
      </c>
      <c r="J91" s="155">
        <f t="shared" si="12"/>
        <v>6549.9999999999991</v>
      </c>
      <c r="K91" s="154">
        <v>21.9</v>
      </c>
      <c r="L91" s="154">
        <v>84.7</v>
      </c>
      <c r="M91" s="154">
        <v>3599.7</v>
      </c>
      <c r="N91" s="156">
        <v>2843.7</v>
      </c>
      <c r="O91" s="190">
        <v>2010</v>
      </c>
      <c r="P91" s="190"/>
      <c r="Q91" s="190" t="s">
        <v>82</v>
      </c>
      <c r="R91" s="191"/>
      <c r="S91" s="46"/>
      <c r="T91" s="46"/>
      <c r="U91" s="45"/>
    </row>
    <row r="92" spans="2:32" s="19" customFormat="1" ht="63.75" customHeight="1">
      <c r="B92" s="157">
        <f t="shared" si="10"/>
        <v>24118.9</v>
      </c>
      <c r="C92" s="161">
        <f t="shared" si="11"/>
        <v>16847.3</v>
      </c>
      <c r="D92" s="159">
        <f>169.4+19.6</f>
        <v>189</v>
      </c>
      <c r="E92" s="159">
        <f>803.1+16.8</f>
        <v>819.9</v>
      </c>
      <c r="F92" s="159">
        <f>12349+1914.3</f>
        <v>14263.3</v>
      </c>
      <c r="G92" s="159">
        <v>71.8</v>
      </c>
      <c r="H92" s="159">
        <v>19.399999999999999</v>
      </c>
      <c r="I92" s="159">
        <v>1483.9</v>
      </c>
      <c r="J92" s="160">
        <f t="shared" si="12"/>
        <v>7271.6000000000013</v>
      </c>
      <c r="K92" s="159">
        <v>22.6</v>
      </c>
      <c r="L92" s="159">
        <v>71.099999999999994</v>
      </c>
      <c r="M92" s="159">
        <v>4158.6000000000004</v>
      </c>
      <c r="N92" s="98">
        <v>3019.3</v>
      </c>
      <c r="O92" s="186">
        <v>2011</v>
      </c>
      <c r="P92" s="186"/>
      <c r="Q92" s="186" t="s">
        <v>83</v>
      </c>
      <c r="R92" s="187"/>
      <c r="S92" s="46"/>
      <c r="T92" s="46"/>
      <c r="U92" s="45"/>
    </row>
    <row r="93" spans="2:32" s="19" customFormat="1" ht="63.75" customHeight="1">
      <c r="B93" s="152">
        <f t="shared" si="10"/>
        <v>24945.1</v>
      </c>
      <c r="C93" s="153">
        <f t="shared" si="11"/>
        <v>17733.999999999996</v>
      </c>
      <c r="D93" s="154">
        <v>205.5</v>
      </c>
      <c r="E93" s="154">
        <f>925.3+22.5</f>
        <v>947.8</v>
      </c>
      <c r="F93" s="154">
        <f>11216.8+3056.3</f>
        <v>14273.099999999999</v>
      </c>
      <c r="G93" s="154">
        <v>37.6</v>
      </c>
      <c r="H93" s="154">
        <v>23.5</v>
      </c>
      <c r="I93" s="154">
        <v>2246.5</v>
      </c>
      <c r="J93" s="155">
        <f t="shared" si="12"/>
        <v>7211.1</v>
      </c>
      <c r="K93" s="154">
        <v>35.5</v>
      </c>
      <c r="L93" s="154">
        <v>93.1</v>
      </c>
      <c r="M93" s="154">
        <v>3867.5</v>
      </c>
      <c r="N93" s="156">
        <v>3215</v>
      </c>
      <c r="O93" s="190">
        <v>2012</v>
      </c>
      <c r="P93" s="190"/>
      <c r="Q93" s="190" t="s">
        <v>84</v>
      </c>
      <c r="R93" s="191"/>
      <c r="S93" s="46"/>
      <c r="T93" s="46"/>
      <c r="U93" s="45"/>
    </row>
    <row r="94" spans="2:32" ht="63.75" customHeight="1">
      <c r="B94" s="157">
        <f t="shared" si="10"/>
        <v>27363.4</v>
      </c>
      <c r="C94" s="161">
        <f t="shared" ref="C94:C102" si="13">I94+H94+G94+F94+E94+D94</f>
        <v>18955.000000000004</v>
      </c>
      <c r="D94" s="159">
        <v>208.9</v>
      </c>
      <c r="E94" s="159">
        <f>1129.2+11.2</f>
        <v>1140.4000000000001</v>
      </c>
      <c r="F94" s="159">
        <f>12988.5+2441.6</f>
        <v>15430.1</v>
      </c>
      <c r="G94" s="159">
        <v>45.7</v>
      </c>
      <c r="H94" s="159">
        <v>21.7</v>
      </c>
      <c r="I94" s="159">
        <v>2108.1999999999998</v>
      </c>
      <c r="J94" s="160">
        <f t="shared" si="12"/>
        <v>8408.4</v>
      </c>
      <c r="K94" s="159">
        <v>30.4</v>
      </c>
      <c r="L94" s="159">
        <v>113.9</v>
      </c>
      <c r="M94" s="159">
        <v>4657.5</v>
      </c>
      <c r="N94" s="98">
        <v>3606.6</v>
      </c>
      <c r="O94" s="186">
        <v>2013</v>
      </c>
      <c r="P94" s="186"/>
      <c r="Q94" s="186" t="s">
        <v>85</v>
      </c>
      <c r="R94" s="187"/>
      <c r="T94" s="45"/>
      <c r="U94" s="29"/>
      <c r="V94" s="29"/>
      <c r="W94" s="30"/>
      <c r="X94" s="31"/>
      <c r="Y94" s="32"/>
      <c r="Z94" s="33"/>
      <c r="AA94" s="33"/>
      <c r="AB94" s="34"/>
      <c r="AC94" s="9"/>
      <c r="AD94" s="9"/>
      <c r="AE94" s="9"/>
      <c r="AF94" s="9"/>
    </row>
    <row r="95" spans="2:32" ht="63.75" customHeight="1">
      <c r="B95" s="152">
        <f t="shared" ref="B95:B102" si="14">C95+J95</f>
        <v>29240.399999999994</v>
      </c>
      <c r="C95" s="153">
        <f t="shared" si="13"/>
        <v>20008.699999999997</v>
      </c>
      <c r="D95" s="154">
        <v>273.3</v>
      </c>
      <c r="E95" s="154">
        <v>935.2</v>
      </c>
      <c r="F95" s="154">
        <v>16557.899999999998</v>
      </c>
      <c r="G95" s="154">
        <v>34.5</v>
      </c>
      <c r="H95" s="154">
        <v>11.4</v>
      </c>
      <c r="I95" s="154">
        <v>2196.4</v>
      </c>
      <c r="J95" s="155">
        <f t="shared" ref="J95:J102" si="15">SUM(N95+M95+L95+K95)</f>
        <v>9231.6999999999989</v>
      </c>
      <c r="K95" s="154">
        <v>58.4</v>
      </c>
      <c r="L95" s="154">
        <v>146.30000000000001</v>
      </c>
      <c r="M95" s="154">
        <v>5222.6000000000004</v>
      </c>
      <c r="N95" s="156">
        <v>3804.4</v>
      </c>
      <c r="O95" s="190">
        <v>2014</v>
      </c>
      <c r="P95" s="190"/>
      <c r="Q95" s="190" t="s">
        <v>84</v>
      </c>
      <c r="R95" s="191"/>
      <c r="T95" s="45"/>
      <c r="U95" s="29"/>
      <c r="V95" s="29"/>
      <c r="W95" s="30"/>
      <c r="X95" s="31"/>
      <c r="Y95" s="32"/>
      <c r="Z95" s="33"/>
      <c r="AA95" s="33"/>
      <c r="AB95" s="34"/>
      <c r="AC95" s="9"/>
      <c r="AD95" s="9"/>
      <c r="AE95" s="9"/>
      <c r="AF95" s="9"/>
    </row>
    <row r="96" spans="2:32" ht="63.75" customHeight="1">
      <c r="B96" s="157">
        <f t="shared" si="14"/>
        <v>31605.5</v>
      </c>
      <c r="C96" s="161">
        <f t="shared" si="13"/>
        <v>21725.300000000003</v>
      </c>
      <c r="D96" s="159">
        <v>345.5</v>
      </c>
      <c r="E96" s="159">
        <v>1233.5</v>
      </c>
      <c r="F96" s="159">
        <v>17635.900000000001</v>
      </c>
      <c r="G96" s="159">
        <v>42.7</v>
      </c>
      <c r="H96" s="159">
        <v>13.8</v>
      </c>
      <c r="I96" s="159">
        <v>2453.9</v>
      </c>
      <c r="J96" s="160">
        <f t="shared" si="15"/>
        <v>9880.1999999999989</v>
      </c>
      <c r="K96" s="159">
        <v>59.4</v>
      </c>
      <c r="L96" s="159">
        <v>177.7</v>
      </c>
      <c r="M96" s="159">
        <v>5709.9</v>
      </c>
      <c r="N96" s="98">
        <v>3933.2</v>
      </c>
      <c r="O96" s="186">
        <v>2015</v>
      </c>
      <c r="P96" s="186"/>
      <c r="Q96" s="186"/>
      <c r="R96" s="187"/>
      <c r="T96" s="45"/>
      <c r="U96" s="29"/>
      <c r="V96" s="29"/>
      <c r="W96" s="30"/>
      <c r="X96" s="31"/>
      <c r="Y96" s="32"/>
      <c r="Z96" s="33"/>
      <c r="AA96" s="33"/>
      <c r="AB96" s="34"/>
      <c r="AC96" s="9"/>
      <c r="AD96" s="9"/>
      <c r="AE96" s="9"/>
      <c r="AF96" s="9"/>
    </row>
    <row r="97" spans="2:32" ht="63.75" customHeight="1">
      <c r="B97" s="152">
        <f t="shared" si="14"/>
        <v>32876.199999999997</v>
      </c>
      <c r="C97" s="153">
        <f t="shared" si="13"/>
        <v>22489.3</v>
      </c>
      <c r="D97" s="154">
        <v>318.10000000000002</v>
      </c>
      <c r="E97" s="154">
        <v>1089.0999999999999</v>
      </c>
      <c r="F97" s="154">
        <v>18305.2</v>
      </c>
      <c r="G97" s="154">
        <v>14.4</v>
      </c>
      <c r="H97" s="154">
        <v>8.9</v>
      </c>
      <c r="I97" s="154">
        <v>2753.6</v>
      </c>
      <c r="J97" s="155">
        <f t="shared" si="15"/>
        <v>10386.900000000001</v>
      </c>
      <c r="K97" s="154">
        <v>68.099999999999994</v>
      </c>
      <c r="L97" s="154">
        <v>243.4</v>
      </c>
      <c r="M97" s="154">
        <v>5894.1</v>
      </c>
      <c r="N97" s="156">
        <v>4181.3</v>
      </c>
      <c r="O97" s="190">
        <v>2016</v>
      </c>
      <c r="P97" s="190"/>
      <c r="Q97" s="190"/>
      <c r="R97" s="191"/>
      <c r="T97" s="45"/>
      <c r="U97" s="29"/>
      <c r="V97" s="29"/>
      <c r="W97" s="30"/>
      <c r="X97" s="31"/>
      <c r="Y97" s="32"/>
      <c r="Z97" s="33"/>
      <c r="AA97" s="33"/>
      <c r="AB97" s="34"/>
      <c r="AC97" s="9"/>
      <c r="AD97" s="9"/>
      <c r="AE97" s="9"/>
      <c r="AF97" s="9"/>
    </row>
    <row r="98" spans="2:32" ht="63.75" customHeight="1">
      <c r="B98" s="157">
        <f t="shared" si="14"/>
        <v>32957.599999999999</v>
      </c>
      <c r="C98" s="161">
        <f t="shared" si="13"/>
        <v>22822.399999999998</v>
      </c>
      <c r="D98" s="159">
        <v>245.3</v>
      </c>
      <c r="E98" s="159">
        <v>1261.8</v>
      </c>
      <c r="F98" s="159">
        <v>18654.5</v>
      </c>
      <c r="G98" s="159">
        <v>11.5</v>
      </c>
      <c r="H98" s="159">
        <v>6.5</v>
      </c>
      <c r="I98" s="159">
        <v>2642.8</v>
      </c>
      <c r="J98" s="160">
        <f t="shared" si="15"/>
        <v>10135.199999999999</v>
      </c>
      <c r="K98" s="159">
        <v>77.3</v>
      </c>
      <c r="L98" s="159">
        <v>112.5</v>
      </c>
      <c r="M98" s="159">
        <v>5618.9</v>
      </c>
      <c r="N98" s="98">
        <v>4326.5</v>
      </c>
      <c r="O98" s="186">
        <v>2017</v>
      </c>
      <c r="P98" s="186"/>
      <c r="Q98" s="186"/>
      <c r="R98" s="187"/>
      <c r="T98" s="45"/>
      <c r="U98" s="29"/>
      <c r="V98" s="29"/>
      <c r="W98" s="30"/>
      <c r="X98" s="31"/>
      <c r="Y98" s="32"/>
      <c r="Z98" s="33"/>
      <c r="AA98" s="33"/>
      <c r="AB98" s="34"/>
      <c r="AC98" s="9"/>
      <c r="AD98" s="9"/>
      <c r="AE98" s="9"/>
      <c r="AF98" s="9"/>
    </row>
    <row r="99" spans="2:32" ht="63.75" customHeight="1">
      <c r="B99" s="152">
        <f t="shared" si="14"/>
        <v>33359.300000000003</v>
      </c>
      <c r="C99" s="153">
        <f t="shared" ref="C99:C101" si="16">I99+H99+G99+F99+E99+D99</f>
        <v>23683.000000000004</v>
      </c>
      <c r="D99" s="154">
        <v>279.2</v>
      </c>
      <c r="E99" s="154">
        <v>1598.8999999999999</v>
      </c>
      <c r="F99" s="154">
        <v>19228.2</v>
      </c>
      <c r="G99" s="154">
        <v>24.5</v>
      </c>
      <c r="H99" s="154">
        <v>8.5</v>
      </c>
      <c r="I99" s="154">
        <v>2543.6999999999998</v>
      </c>
      <c r="J99" s="155">
        <f t="shared" si="15"/>
        <v>9676.3000000000011</v>
      </c>
      <c r="K99" s="154">
        <v>90.1</v>
      </c>
      <c r="L99" s="154">
        <v>117.2</v>
      </c>
      <c r="M99" s="154">
        <v>5172.6000000000004</v>
      </c>
      <c r="N99" s="156">
        <v>4296.3999999999996</v>
      </c>
      <c r="O99" s="190">
        <v>2018</v>
      </c>
      <c r="P99" s="190"/>
      <c r="Q99" s="190"/>
      <c r="R99" s="191"/>
      <c r="T99" s="45"/>
      <c r="U99" s="29"/>
      <c r="V99" s="29"/>
      <c r="W99" s="30"/>
      <c r="X99" s="31"/>
      <c r="Y99" s="32"/>
      <c r="Z99" s="33"/>
      <c r="AA99" s="33"/>
      <c r="AB99" s="34"/>
      <c r="AC99" s="9"/>
      <c r="AD99" s="9"/>
      <c r="AE99" s="9"/>
      <c r="AF99" s="9"/>
    </row>
    <row r="100" spans="2:32" ht="63.75" customHeight="1">
      <c r="B100" s="157">
        <f t="shared" ref="B100:B101" si="17">C100+J100</f>
        <v>34969.699999999997</v>
      </c>
      <c r="C100" s="161">
        <f t="shared" si="16"/>
        <v>24646.899999999998</v>
      </c>
      <c r="D100" s="159">
        <v>309.59999999999997</v>
      </c>
      <c r="E100" s="159">
        <v>1570</v>
      </c>
      <c r="F100" s="159">
        <v>20331.2</v>
      </c>
      <c r="G100" s="159">
        <v>26.4</v>
      </c>
      <c r="H100" s="159">
        <v>9.5</v>
      </c>
      <c r="I100" s="159">
        <v>2400.1999999999998</v>
      </c>
      <c r="J100" s="160">
        <f t="shared" ref="J100:J101" si="18">SUM(N100+M100+L100+K100)</f>
        <v>10322.799999999999</v>
      </c>
      <c r="K100" s="159">
        <v>44.9</v>
      </c>
      <c r="L100" s="159">
        <v>86.3</v>
      </c>
      <c r="M100" s="159">
        <v>5560.6</v>
      </c>
      <c r="N100" s="98">
        <v>4631</v>
      </c>
      <c r="O100" s="186">
        <v>2019</v>
      </c>
      <c r="P100" s="186"/>
      <c r="Q100" s="186"/>
      <c r="R100" s="187"/>
      <c r="T100" s="45"/>
      <c r="U100" s="29"/>
      <c r="V100" s="29"/>
      <c r="W100" s="30"/>
      <c r="X100" s="31"/>
      <c r="Y100" s="32"/>
      <c r="Z100" s="33"/>
      <c r="AA100" s="33"/>
      <c r="AB100" s="34"/>
      <c r="AC100" s="9"/>
      <c r="AD100" s="9"/>
      <c r="AE100" s="9"/>
      <c r="AF100" s="9"/>
    </row>
    <row r="101" spans="2:32" ht="63.75" customHeight="1">
      <c r="B101" s="152">
        <f t="shared" si="17"/>
        <v>37011.9</v>
      </c>
      <c r="C101" s="153">
        <f t="shared" si="16"/>
        <v>24861.600000000002</v>
      </c>
      <c r="D101" s="154">
        <v>340.4</v>
      </c>
      <c r="E101" s="154">
        <v>1593</v>
      </c>
      <c r="F101" s="154">
        <v>20178.100000000002</v>
      </c>
      <c r="G101" s="154">
        <v>27.6</v>
      </c>
      <c r="H101" s="154">
        <v>8.9</v>
      </c>
      <c r="I101" s="154">
        <v>2713.6</v>
      </c>
      <c r="J101" s="155">
        <f t="shared" si="18"/>
        <v>12150.3</v>
      </c>
      <c r="K101" s="154">
        <v>47.9</v>
      </c>
      <c r="L101" s="154">
        <v>203.6</v>
      </c>
      <c r="M101" s="154">
        <v>5959.4</v>
      </c>
      <c r="N101" s="156">
        <v>5939.4</v>
      </c>
      <c r="O101" s="190">
        <v>2020</v>
      </c>
      <c r="P101" s="190"/>
      <c r="Q101" s="190"/>
      <c r="R101" s="191"/>
      <c r="T101" s="45"/>
      <c r="U101" s="29"/>
      <c r="V101" s="29"/>
      <c r="W101" s="30"/>
      <c r="X101" s="31"/>
      <c r="Y101" s="32"/>
      <c r="Z101" s="33"/>
      <c r="AA101" s="33"/>
      <c r="AB101" s="34"/>
      <c r="AC101" s="9"/>
      <c r="AD101" s="9"/>
      <c r="AE101" s="9"/>
      <c r="AF101" s="9"/>
    </row>
    <row r="102" spans="2:32" ht="63.75" customHeight="1">
      <c r="B102" s="219">
        <f t="shared" si="14"/>
        <v>39509.199999999997</v>
      </c>
      <c r="C102" s="220">
        <f t="shared" si="13"/>
        <v>26391.699999999997</v>
      </c>
      <c r="D102" s="221">
        <v>405.3</v>
      </c>
      <c r="E102" s="221">
        <v>1635.5</v>
      </c>
      <c r="F102" s="221">
        <v>21412.1</v>
      </c>
      <c r="G102" s="221">
        <v>16.899999999999999</v>
      </c>
      <c r="H102" s="221">
        <v>18</v>
      </c>
      <c r="I102" s="221">
        <v>2903.9</v>
      </c>
      <c r="J102" s="222">
        <f t="shared" si="15"/>
        <v>13117.5</v>
      </c>
      <c r="K102" s="221">
        <v>51.4</v>
      </c>
      <c r="L102" s="221">
        <v>168.6</v>
      </c>
      <c r="M102" s="221">
        <v>6672.1</v>
      </c>
      <c r="N102" s="223">
        <v>6225.4</v>
      </c>
      <c r="O102" s="224">
        <v>2021</v>
      </c>
      <c r="P102" s="224"/>
      <c r="Q102" s="224"/>
      <c r="R102" s="225"/>
      <c r="T102" s="45"/>
      <c r="U102" s="29"/>
      <c r="V102" s="29"/>
      <c r="W102" s="30"/>
      <c r="X102" s="31"/>
      <c r="Y102" s="32"/>
      <c r="Z102" s="33"/>
      <c r="AA102" s="33"/>
      <c r="AB102" s="34"/>
      <c r="AC102" s="9"/>
      <c r="AD102" s="9"/>
      <c r="AE102" s="9"/>
      <c r="AF102" s="9"/>
    </row>
    <row r="103" spans="2:32" ht="6.95" customHeight="1">
      <c r="B103" s="162"/>
      <c r="C103" s="163"/>
      <c r="D103" s="164"/>
      <c r="E103" s="164"/>
      <c r="F103" s="164"/>
      <c r="G103" s="164"/>
      <c r="H103" s="165"/>
      <c r="I103" s="166"/>
      <c r="J103" s="165"/>
      <c r="K103" s="164"/>
      <c r="L103" s="164"/>
      <c r="M103" s="164"/>
      <c r="N103" s="167"/>
      <c r="O103" s="168"/>
      <c r="P103" s="169"/>
      <c r="Q103" s="170"/>
      <c r="R103" s="170"/>
      <c r="T103" s="45"/>
      <c r="U103" s="29"/>
      <c r="V103" s="29"/>
      <c r="W103" s="30"/>
      <c r="X103" s="31"/>
      <c r="Y103" s="32"/>
      <c r="Z103" s="33"/>
      <c r="AA103" s="33"/>
      <c r="AB103" s="34"/>
      <c r="AC103" s="9"/>
      <c r="AD103" s="9"/>
      <c r="AE103" s="9"/>
      <c r="AF103" s="9"/>
    </row>
    <row r="104" spans="2:32" s="37" customFormat="1" ht="17.100000000000001" customHeight="1">
      <c r="B104" s="172" t="s">
        <v>103</v>
      </c>
      <c r="C104" s="176"/>
      <c r="D104" s="50"/>
      <c r="E104" s="50"/>
      <c r="F104" s="50"/>
      <c r="G104" s="50"/>
      <c r="H104" s="49"/>
      <c r="I104" s="177"/>
      <c r="J104" s="49"/>
      <c r="K104" s="50"/>
      <c r="L104" s="50"/>
      <c r="M104" s="50"/>
      <c r="N104" s="178"/>
      <c r="O104" s="179"/>
      <c r="P104" s="180"/>
      <c r="Q104" s="181" t="s">
        <v>101</v>
      </c>
      <c r="R104" s="170"/>
      <c r="S104" s="35"/>
      <c r="T104" s="36"/>
      <c r="U104" s="36"/>
      <c r="V104" s="36"/>
      <c r="W104" s="36"/>
      <c r="X104" s="21"/>
      <c r="Y104" s="21"/>
      <c r="Z104" s="21"/>
      <c r="AA104" s="21"/>
    </row>
    <row r="105" spans="2:32" s="37" customFormat="1" ht="17.100000000000001" customHeight="1">
      <c r="B105" s="176" t="s">
        <v>92</v>
      </c>
      <c r="C105" s="176"/>
      <c r="D105" s="50"/>
      <c r="E105" s="50"/>
      <c r="F105" s="50"/>
      <c r="G105" s="182"/>
      <c r="H105" s="50"/>
      <c r="I105" s="182"/>
      <c r="J105" s="177"/>
      <c r="K105" s="50"/>
      <c r="L105" s="50"/>
      <c r="M105" s="50"/>
      <c r="N105" s="178"/>
      <c r="O105" s="179"/>
      <c r="P105" s="50"/>
      <c r="Q105" s="178" t="s">
        <v>102</v>
      </c>
      <c r="R105" s="167"/>
      <c r="S105" s="35"/>
      <c r="T105" s="38"/>
      <c r="U105" s="38"/>
      <c r="V105" s="38"/>
      <c r="W105" s="38"/>
    </row>
    <row r="106" spans="2:32" s="37" customFormat="1" ht="17.100000000000001" customHeight="1">
      <c r="B106" s="172" t="s">
        <v>94</v>
      </c>
      <c r="C106" s="176"/>
      <c r="D106" s="50"/>
      <c r="E106" s="50"/>
      <c r="F106" s="182"/>
      <c r="G106" s="183"/>
      <c r="H106" s="50"/>
      <c r="I106" s="182"/>
      <c r="J106" s="182"/>
      <c r="K106" s="50"/>
      <c r="L106" s="50"/>
      <c r="M106" s="50"/>
      <c r="N106" s="184"/>
      <c r="O106" s="179"/>
      <c r="P106" s="180"/>
      <c r="Q106" s="181" t="s">
        <v>93</v>
      </c>
      <c r="R106" s="170"/>
      <c r="S106" s="38"/>
      <c r="T106" s="38"/>
      <c r="W106" s="38"/>
    </row>
    <row r="107" spans="2:32">
      <c r="G107" s="38"/>
      <c r="I107" s="37"/>
      <c r="J107" s="37"/>
      <c r="O107" s="4"/>
      <c r="P107" s="4"/>
      <c r="T107" s="31"/>
      <c r="U107" s="30"/>
      <c r="V107" s="30"/>
      <c r="W107" s="30"/>
      <c r="X107" s="9"/>
      <c r="Y107" s="9"/>
      <c r="Z107" s="9"/>
      <c r="AA107" s="9"/>
      <c r="AB107" s="9"/>
      <c r="AC107" s="9"/>
      <c r="AD107" s="9"/>
      <c r="AE107" s="9"/>
      <c r="AF107" s="9"/>
    </row>
    <row r="108" spans="2:32">
      <c r="F108" s="8"/>
      <c r="I108" s="37"/>
      <c r="J108" s="37"/>
      <c r="O108" s="4"/>
      <c r="P108" s="4"/>
      <c r="T108" s="32"/>
      <c r="U108" s="29"/>
      <c r="V108" s="29"/>
      <c r="W108" s="30"/>
    </row>
    <row r="109" spans="2:32">
      <c r="B109" s="10"/>
      <c r="C109" s="11"/>
      <c r="D109" s="12"/>
      <c r="E109" s="12"/>
      <c r="F109" s="8"/>
      <c r="H109" s="8"/>
      <c r="I109" s="37"/>
      <c r="J109" s="37"/>
      <c r="K109" s="2"/>
      <c r="L109" s="2"/>
      <c r="M109" s="12"/>
      <c r="N109" s="12"/>
      <c r="O109" s="13"/>
      <c r="P109" s="14"/>
      <c r="Q109" s="13"/>
      <c r="R109" s="13"/>
      <c r="S109" s="44"/>
      <c r="T109" s="32"/>
      <c r="U109" s="29"/>
      <c r="V109" s="29"/>
      <c r="W109" s="30"/>
    </row>
    <row r="110" spans="2:32">
      <c r="F110" s="8"/>
      <c r="H110" s="38"/>
      <c r="I110" s="37"/>
      <c r="J110" s="37"/>
      <c r="T110" s="32"/>
      <c r="U110" s="29"/>
      <c r="V110" s="29"/>
      <c r="W110" s="30"/>
    </row>
    <row r="111" spans="2:32">
      <c r="T111" s="32"/>
      <c r="U111" s="29"/>
      <c r="V111" s="29"/>
      <c r="W111" s="30"/>
    </row>
    <row r="112" spans="2:32">
      <c r="T112" s="32"/>
      <c r="U112" s="29"/>
      <c r="V112" s="29"/>
      <c r="W112" s="30"/>
    </row>
    <row r="113" spans="20:23">
      <c r="T113" s="31"/>
      <c r="U113" s="30"/>
      <c r="V113" s="30"/>
      <c r="W113" s="30"/>
    </row>
    <row r="114" spans="20:23">
      <c r="T114" s="32"/>
      <c r="U114" s="39"/>
      <c r="V114" s="30"/>
      <c r="W114" s="30"/>
    </row>
    <row r="115" spans="20:23">
      <c r="T115" s="31"/>
      <c r="U115" s="30"/>
      <c r="V115" s="30"/>
      <c r="W115" s="30"/>
    </row>
    <row r="116" spans="20:23">
      <c r="T116" s="32"/>
      <c r="U116" s="29"/>
      <c r="V116" s="29"/>
      <c r="W116" s="29"/>
    </row>
  </sheetData>
  <mergeCells count="85">
    <mergeCell ref="O101:R101"/>
    <mergeCell ref="O94:R94"/>
    <mergeCell ref="O80:R80"/>
    <mergeCell ref="O88:R88"/>
    <mergeCell ref="O89:R89"/>
    <mergeCell ref="O90:R90"/>
    <mergeCell ref="O91:R91"/>
    <mergeCell ref="O81:R81"/>
    <mergeCell ref="O92:R92"/>
    <mergeCell ref="O93:R93"/>
    <mergeCell ref="O82:R82"/>
    <mergeCell ref="O83:R83"/>
    <mergeCell ref="O84:R84"/>
    <mergeCell ref="O85:R85"/>
    <mergeCell ref="O86:R86"/>
    <mergeCell ref="O87:R87"/>
    <mergeCell ref="O75:R75"/>
    <mergeCell ref="O76:R76"/>
    <mergeCell ref="O77:R77"/>
    <mergeCell ref="O78:R78"/>
    <mergeCell ref="O79:R79"/>
    <mergeCell ref="O73:R73"/>
    <mergeCell ref="O74:R74"/>
    <mergeCell ref="O39:R39"/>
    <mergeCell ref="O40:R40"/>
    <mergeCell ref="O41:R41"/>
    <mergeCell ref="O42:R42"/>
    <mergeCell ref="O43:R43"/>
    <mergeCell ref="O44:R44"/>
    <mergeCell ref="J51:R51"/>
    <mergeCell ref="J53:R53"/>
    <mergeCell ref="G65:I65"/>
    <mergeCell ref="G64:I64"/>
    <mergeCell ref="D65:F65"/>
    <mergeCell ref="D64:F64"/>
    <mergeCell ref="O47:R47"/>
    <mergeCell ref="D62:I62"/>
    <mergeCell ref="B57:R57"/>
    <mergeCell ref="B56:R56"/>
    <mergeCell ref="D60:I61"/>
    <mergeCell ref="B54:J54"/>
    <mergeCell ref="K50:R50"/>
    <mergeCell ref="K52:R52"/>
    <mergeCell ref="K54:R54"/>
    <mergeCell ref="B50:H50"/>
    <mergeCell ref="B49:H49"/>
    <mergeCell ref="K49:R49"/>
    <mergeCell ref="O46:R46"/>
    <mergeCell ref="O27:R27"/>
    <mergeCell ref="O28:R28"/>
    <mergeCell ref="O31:R31"/>
    <mergeCell ref="O32:R32"/>
    <mergeCell ref="O33:R33"/>
    <mergeCell ref="O35:R35"/>
    <mergeCell ref="O36:R36"/>
    <mergeCell ref="O37:R37"/>
    <mergeCell ref="O38:R38"/>
    <mergeCell ref="O45:R45"/>
    <mergeCell ref="B3:R3"/>
    <mergeCell ref="B4:R4"/>
    <mergeCell ref="O19:R19"/>
    <mergeCell ref="O20:R20"/>
    <mergeCell ref="O21:R21"/>
    <mergeCell ref="K7:M8"/>
    <mergeCell ref="K9:M10"/>
    <mergeCell ref="E7:G8"/>
    <mergeCell ref="E9:G10"/>
    <mergeCell ref="B18:C18"/>
    <mergeCell ref="H18:I18"/>
    <mergeCell ref="B53:I53"/>
    <mergeCell ref="O22:R22"/>
    <mergeCell ref="O100:R100"/>
    <mergeCell ref="O102:R102"/>
    <mergeCell ref="O97:R97"/>
    <mergeCell ref="O96:R96"/>
    <mergeCell ref="O95:R95"/>
    <mergeCell ref="O99:R99"/>
    <mergeCell ref="O98:R98"/>
    <mergeCell ref="O24:R24"/>
    <mergeCell ref="O29:R29"/>
    <mergeCell ref="O30:R30"/>
    <mergeCell ref="O34:R34"/>
    <mergeCell ref="O23:R23"/>
    <mergeCell ref="O25:R25"/>
    <mergeCell ref="O26:R26"/>
  </mergeCells>
  <phoneticPr fontId="0" type="noConversion"/>
  <printOptions horizontalCentered="1" verticalCentered="1"/>
  <pageMargins left="0.39370078740157483" right="0.43307086614173229" top="0" bottom="1.5748031496062993" header="0.51181102362204722" footer="0.51181102362204722"/>
  <pageSetup paperSize="9" scale="35" orientation="portrait" r:id="rId1"/>
  <headerFooter alignWithMargins="0">
    <oddFooter>&amp;C&amp;"Times,Regular"&amp;22-9-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</vt:lpstr>
      <vt:lpstr>Database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Wael I. Elmahadin</cp:lastModifiedBy>
  <cp:lastPrinted>2017-04-16T11:17:31Z</cp:lastPrinted>
  <dcterms:created xsi:type="dcterms:W3CDTF">2009-02-16T08:09:32Z</dcterms:created>
  <dcterms:modified xsi:type="dcterms:W3CDTF">2022-06-09T08:33:37Z</dcterms:modified>
</cp:coreProperties>
</file>