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/>
  <mc:AlternateContent xmlns:mc="http://schemas.openxmlformats.org/markup-compatibility/2006">
    <mc:Choice Requires="x15">
      <x15ac:absPath xmlns:x15ac="http://schemas.microsoft.com/office/spreadsheetml/2010/11/ac" url="C:\Users\we-83079\Desktop\النشرة السنوية\"/>
    </mc:Choice>
  </mc:AlternateContent>
  <bookViews>
    <workbookView xWindow="0" yWindow="0" windowWidth="21600" windowHeight="9000"/>
  </bookViews>
  <sheets>
    <sheet name="11" sheetId="1" r:id="rId1"/>
  </sheets>
  <definedNames>
    <definedName name="_xlnm.Print_Area" localSheetId="0">'11'!$B$46:$R$90</definedName>
  </definedNames>
  <calcPr calcId="162913"/>
</workbook>
</file>

<file path=xl/calcChain.xml><?xml version="1.0" encoding="utf-8"?>
<calcChain xmlns="http://schemas.openxmlformats.org/spreadsheetml/2006/main">
  <c r="AD85" i="1" l="1"/>
  <c r="AE85" i="1" s="1"/>
  <c r="Z85" i="1"/>
  <c r="V85" i="1"/>
  <c r="R85" i="1"/>
  <c r="N85" i="1"/>
  <c r="J85" i="1"/>
  <c r="AD84" i="1" l="1"/>
  <c r="Z84" i="1"/>
  <c r="V84" i="1"/>
  <c r="AE84" i="1" s="1"/>
  <c r="R84" i="1"/>
  <c r="N84" i="1"/>
  <c r="J84" i="1"/>
  <c r="AD83" i="1" l="1"/>
  <c r="AE83" i="1" s="1"/>
  <c r="Z83" i="1"/>
  <c r="V83" i="1"/>
  <c r="R83" i="1"/>
  <c r="N83" i="1"/>
  <c r="J83" i="1"/>
  <c r="AD82" i="1" l="1"/>
  <c r="Z82" i="1"/>
  <c r="AE82" i="1"/>
  <c r="V82" i="1"/>
  <c r="R82" i="1"/>
  <c r="N82" i="1"/>
  <c r="J82" i="1"/>
  <c r="AD86" i="1"/>
  <c r="Z86" i="1"/>
  <c r="V86" i="1"/>
  <c r="R86" i="1"/>
  <c r="N86" i="1"/>
  <c r="J86" i="1"/>
  <c r="J81" i="1"/>
  <c r="N81" i="1"/>
  <c r="R81" i="1"/>
  <c r="V81" i="1"/>
  <c r="Z81" i="1"/>
  <c r="AD81" i="1"/>
  <c r="J80" i="1"/>
  <c r="N80" i="1"/>
  <c r="R80" i="1"/>
  <c r="V80" i="1"/>
  <c r="AD80" i="1"/>
  <c r="AE80" i="1"/>
  <c r="Z80" i="1"/>
  <c r="N79" i="1"/>
  <c r="Z79" i="1"/>
  <c r="AE79" i="1"/>
  <c r="V79" i="1"/>
  <c r="R79" i="1"/>
  <c r="AD79" i="1"/>
  <c r="J79" i="1"/>
  <c r="AD78" i="1"/>
  <c r="AE78" i="1"/>
  <c r="Z78" i="1"/>
  <c r="V78" i="1"/>
  <c r="R78" i="1"/>
  <c r="N78" i="1"/>
  <c r="J78" i="1"/>
  <c r="AD77" i="1"/>
  <c r="Z77" i="1"/>
  <c r="V77" i="1"/>
  <c r="R77" i="1"/>
  <c r="AE77" i="1"/>
  <c r="N77" i="1"/>
  <c r="J77" i="1"/>
  <c r="AD76" i="1"/>
  <c r="Y76" i="1"/>
  <c r="Z76" i="1"/>
  <c r="W76" i="1"/>
  <c r="V76" i="1"/>
  <c r="R76" i="1"/>
  <c r="M76" i="1"/>
  <c r="L76" i="1"/>
  <c r="N76" i="1"/>
  <c r="K76" i="1"/>
  <c r="J76" i="1"/>
  <c r="AD75" i="1"/>
  <c r="Y75" i="1"/>
  <c r="Z75" i="1"/>
  <c r="W75" i="1"/>
  <c r="V75" i="1"/>
  <c r="R75" i="1"/>
  <c r="M75" i="1"/>
  <c r="L75" i="1"/>
  <c r="N75" i="1"/>
  <c r="K75" i="1"/>
  <c r="J75" i="1"/>
  <c r="AD74" i="1"/>
  <c r="Y74" i="1"/>
  <c r="Z74" i="1"/>
  <c r="X74" i="1"/>
  <c r="W74" i="1"/>
  <c r="V74" i="1"/>
  <c r="R74" i="1"/>
  <c r="M74" i="1"/>
  <c r="L74" i="1"/>
  <c r="N74" i="1"/>
  <c r="K74" i="1"/>
  <c r="J74" i="1"/>
  <c r="AD73" i="1"/>
  <c r="Y73" i="1"/>
  <c r="Z73" i="1"/>
  <c r="W73" i="1"/>
  <c r="V73" i="1"/>
  <c r="R73" i="1"/>
  <c r="M73" i="1"/>
  <c r="K73" i="1"/>
  <c r="N73" i="1"/>
  <c r="J73" i="1"/>
  <c r="AD72" i="1"/>
  <c r="Y72" i="1"/>
  <c r="W72" i="1"/>
  <c r="Z72" i="1"/>
  <c r="AE72" i="1"/>
  <c r="V72" i="1"/>
  <c r="R72" i="1"/>
  <c r="M72" i="1"/>
  <c r="N72" i="1"/>
  <c r="K72" i="1"/>
  <c r="J72" i="1"/>
  <c r="AD71" i="1"/>
  <c r="Y71" i="1"/>
  <c r="W71" i="1"/>
  <c r="Z71" i="1"/>
  <c r="AE71" i="1"/>
  <c r="V71" i="1"/>
  <c r="R71" i="1"/>
  <c r="M71" i="1"/>
  <c r="N71" i="1"/>
  <c r="K71" i="1"/>
  <c r="J71" i="1"/>
  <c r="AD70" i="1"/>
  <c r="AE70" i="1"/>
  <c r="Z70" i="1"/>
  <c r="V70" i="1"/>
  <c r="R70" i="1"/>
  <c r="N70" i="1"/>
  <c r="J70" i="1"/>
  <c r="AD69" i="1"/>
  <c r="Y69" i="1"/>
  <c r="Z69" i="1"/>
  <c r="AE69" i="1"/>
  <c r="W69" i="1"/>
  <c r="V69" i="1"/>
  <c r="R69" i="1"/>
  <c r="M69" i="1"/>
  <c r="K69" i="1"/>
  <c r="N69" i="1"/>
  <c r="J69" i="1"/>
  <c r="AD68" i="1"/>
  <c r="Y68" i="1"/>
  <c r="W68" i="1"/>
  <c r="Z68" i="1"/>
  <c r="V68" i="1"/>
  <c r="R68" i="1"/>
  <c r="M68" i="1"/>
  <c r="N68" i="1"/>
  <c r="AE68" i="1"/>
  <c r="K68" i="1"/>
  <c r="J68" i="1"/>
  <c r="AD67" i="1"/>
  <c r="Y67" i="1"/>
  <c r="W67" i="1"/>
  <c r="Z67" i="1"/>
  <c r="V67" i="1"/>
  <c r="R67" i="1"/>
  <c r="M67" i="1"/>
  <c r="K67" i="1"/>
  <c r="N67" i="1"/>
  <c r="J67" i="1"/>
  <c r="AD66" i="1"/>
  <c r="Y66" i="1"/>
  <c r="W66" i="1"/>
  <c r="Z66" i="1"/>
  <c r="V66" i="1"/>
  <c r="R66" i="1"/>
  <c r="M66" i="1"/>
  <c r="N66" i="1"/>
  <c r="K66" i="1"/>
  <c r="J66" i="1"/>
  <c r="AD65" i="1"/>
  <c r="Y65" i="1"/>
  <c r="Z65" i="1"/>
  <c r="W65" i="1"/>
  <c r="V65" i="1"/>
  <c r="R65" i="1"/>
  <c r="M65" i="1"/>
  <c r="L65" i="1"/>
  <c r="N65" i="1"/>
  <c r="K65" i="1"/>
  <c r="J65" i="1"/>
  <c r="AG64" i="1"/>
  <c r="AG65" i="1"/>
  <c r="AG66" i="1"/>
  <c r="AG67" i="1"/>
  <c r="AG68" i="1"/>
  <c r="AD64" i="1"/>
  <c r="AE64" i="1"/>
  <c r="Y64" i="1"/>
  <c r="W64" i="1"/>
  <c r="Z64" i="1"/>
  <c r="V64" i="1"/>
  <c r="R64" i="1"/>
  <c r="M64" i="1"/>
  <c r="L64" i="1"/>
  <c r="N64" i="1"/>
  <c r="K64" i="1"/>
  <c r="J64" i="1"/>
  <c r="C64" i="1"/>
  <c r="C65" i="1"/>
  <c r="C66" i="1"/>
  <c r="C67" i="1"/>
  <c r="C68" i="1"/>
  <c r="AD63" i="1"/>
  <c r="AE63" i="1"/>
  <c r="Y63" i="1"/>
  <c r="X63" i="1"/>
  <c r="W63" i="1"/>
  <c r="Z63" i="1"/>
  <c r="V63" i="1"/>
  <c r="R63" i="1"/>
  <c r="M63" i="1"/>
  <c r="N63" i="1"/>
  <c r="K63" i="1"/>
  <c r="J63" i="1"/>
  <c r="AD62" i="1"/>
  <c r="Y62" i="1"/>
  <c r="W62" i="1"/>
  <c r="Z62" i="1"/>
  <c r="V62" i="1"/>
  <c r="R62" i="1"/>
  <c r="M62" i="1"/>
  <c r="N62" i="1"/>
  <c r="L62" i="1"/>
  <c r="K62" i="1"/>
  <c r="J62" i="1"/>
  <c r="AD61" i="1"/>
  <c r="Z61" i="1"/>
  <c r="V61" i="1"/>
  <c r="R61" i="1"/>
  <c r="M61" i="1"/>
  <c r="N61" i="1"/>
  <c r="K61" i="1"/>
  <c r="J61" i="1"/>
  <c r="AD60" i="1"/>
  <c r="Z60" i="1"/>
  <c r="V60" i="1"/>
  <c r="R60" i="1"/>
  <c r="M60" i="1"/>
  <c r="N60" i="1"/>
  <c r="K60" i="1"/>
  <c r="J60" i="1"/>
  <c r="AD59" i="1"/>
  <c r="Z59" i="1"/>
  <c r="V59" i="1"/>
  <c r="AE59" i="1"/>
  <c r="R59" i="1"/>
  <c r="M59" i="1"/>
  <c r="K59" i="1"/>
  <c r="N59" i="1"/>
  <c r="J59" i="1"/>
  <c r="AD58" i="1"/>
  <c r="Z58" i="1"/>
  <c r="V58" i="1"/>
  <c r="R58" i="1"/>
  <c r="M58" i="1"/>
  <c r="K58" i="1"/>
  <c r="N58" i="1"/>
  <c r="AE58" i="1"/>
  <c r="J58" i="1"/>
  <c r="R15" i="1"/>
  <c r="N24" i="1"/>
  <c r="N23" i="1"/>
  <c r="N22" i="1"/>
  <c r="N21" i="1"/>
  <c r="N20" i="1"/>
  <c r="N19" i="1"/>
  <c r="N18" i="1"/>
  <c r="N17" i="1"/>
  <c r="N16" i="1"/>
  <c r="N15" i="1"/>
  <c r="J15" i="1"/>
  <c r="V15" i="1"/>
  <c r="Z15" i="1"/>
  <c r="AD15" i="1"/>
  <c r="AE15" i="1"/>
  <c r="J16" i="1"/>
  <c r="R16" i="1"/>
  <c r="V16" i="1"/>
  <c r="Z16" i="1"/>
  <c r="AE16" i="1"/>
  <c r="AD16" i="1"/>
  <c r="J17" i="1"/>
  <c r="R17" i="1"/>
  <c r="V17" i="1"/>
  <c r="Z17" i="1"/>
  <c r="AD17" i="1"/>
  <c r="AE17" i="1"/>
  <c r="J18" i="1"/>
  <c r="R18" i="1"/>
  <c r="V18" i="1"/>
  <c r="Z18" i="1"/>
  <c r="AD18" i="1"/>
  <c r="J19" i="1"/>
  <c r="R19" i="1"/>
  <c r="V19" i="1"/>
  <c r="Z19" i="1"/>
  <c r="AD19" i="1"/>
  <c r="AE19" i="1"/>
  <c r="J20" i="1"/>
  <c r="R20" i="1"/>
  <c r="V20" i="1"/>
  <c r="Z20" i="1"/>
  <c r="AE20" i="1"/>
  <c r="AD20" i="1"/>
  <c r="J21" i="1"/>
  <c r="R21" i="1"/>
  <c r="V21" i="1"/>
  <c r="AE21" i="1"/>
  <c r="Z21" i="1"/>
  <c r="AD21" i="1"/>
  <c r="J22" i="1"/>
  <c r="R22" i="1"/>
  <c r="V22" i="1"/>
  <c r="Z22" i="1"/>
  <c r="AE22" i="1"/>
  <c r="AD22" i="1"/>
  <c r="J23" i="1"/>
  <c r="R23" i="1"/>
  <c r="AE23" i="1"/>
  <c r="V23" i="1"/>
  <c r="Z23" i="1"/>
  <c r="AD23" i="1"/>
  <c r="J24" i="1"/>
  <c r="R24" i="1"/>
  <c r="V24" i="1"/>
  <c r="Z24" i="1"/>
  <c r="AE24" i="1"/>
  <c r="AD24" i="1"/>
  <c r="J25" i="1"/>
  <c r="N25" i="1"/>
  <c r="R25" i="1"/>
  <c r="AE25" i="1"/>
  <c r="V25" i="1"/>
  <c r="Z25" i="1"/>
  <c r="AD25" i="1"/>
  <c r="J26" i="1"/>
  <c r="N26" i="1"/>
  <c r="R26" i="1"/>
  <c r="V26" i="1"/>
  <c r="AE26" i="1"/>
  <c r="Z26" i="1"/>
  <c r="AD26" i="1"/>
  <c r="J27" i="1"/>
  <c r="N27" i="1"/>
  <c r="R27" i="1"/>
  <c r="V27" i="1"/>
  <c r="Z27" i="1"/>
  <c r="AE27" i="1"/>
  <c r="AD27" i="1"/>
  <c r="J28" i="1"/>
  <c r="N28" i="1"/>
  <c r="R28" i="1"/>
  <c r="V28" i="1"/>
  <c r="Z28" i="1"/>
  <c r="AE28" i="1"/>
  <c r="AD28" i="1"/>
  <c r="J29" i="1"/>
  <c r="N29" i="1"/>
  <c r="R29" i="1"/>
  <c r="V29" i="1"/>
  <c r="Z29" i="1"/>
  <c r="AD29" i="1"/>
  <c r="AE29" i="1"/>
  <c r="J30" i="1"/>
  <c r="N30" i="1"/>
  <c r="R30" i="1"/>
  <c r="V30" i="1"/>
  <c r="Z30" i="1"/>
  <c r="AD30" i="1"/>
  <c r="J31" i="1"/>
  <c r="N31" i="1"/>
  <c r="R31" i="1"/>
  <c r="V31" i="1"/>
  <c r="Z31" i="1"/>
  <c r="AE31" i="1"/>
  <c r="AD31" i="1"/>
  <c r="J32" i="1"/>
  <c r="N32" i="1"/>
  <c r="R32" i="1"/>
  <c r="V32" i="1"/>
  <c r="Z32" i="1"/>
  <c r="AD32" i="1"/>
  <c r="AE32" i="1"/>
  <c r="J33" i="1"/>
  <c r="N33" i="1"/>
  <c r="R33" i="1"/>
  <c r="V33" i="1"/>
  <c r="Z33" i="1"/>
  <c r="AD33" i="1"/>
  <c r="AE33" i="1"/>
  <c r="J34" i="1"/>
  <c r="N34" i="1"/>
  <c r="R34" i="1"/>
  <c r="V34" i="1"/>
  <c r="Z34" i="1"/>
  <c r="AE34" i="1"/>
  <c r="AD34" i="1"/>
  <c r="J35" i="1"/>
  <c r="N35" i="1"/>
  <c r="R35" i="1"/>
  <c r="V35" i="1"/>
  <c r="Z35" i="1"/>
  <c r="AD35" i="1"/>
  <c r="AE35" i="1"/>
  <c r="J36" i="1"/>
  <c r="N36" i="1"/>
  <c r="R36" i="1"/>
  <c r="V36" i="1"/>
  <c r="Z36" i="1"/>
  <c r="AD36" i="1"/>
  <c r="AE36" i="1"/>
  <c r="J37" i="1"/>
  <c r="N37" i="1"/>
  <c r="R37" i="1"/>
  <c r="V37" i="1"/>
  <c r="Z37" i="1"/>
  <c r="AD37" i="1"/>
  <c r="AE37" i="1"/>
  <c r="J38" i="1"/>
  <c r="N38" i="1"/>
  <c r="R38" i="1"/>
  <c r="V38" i="1"/>
  <c r="Z38" i="1"/>
  <c r="AD38" i="1"/>
  <c r="AE38" i="1"/>
  <c r="J39" i="1"/>
  <c r="N39" i="1"/>
  <c r="R39" i="1"/>
  <c r="V39" i="1"/>
  <c r="Z39" i="1"/>
  <c r="AD39" i="1"/>
  <c r="AE39" i="1"/>
  <c r="J40" i="1"/>
  <c r="N40" i="1"/>
  <c r="R40" i="1"/>
  <c r="V40" i="1"/>
  <c r="Z40" i="1"/>
  <c r="AD40" i="1"/>
  <c r="AE40" i="1"/>
  <c r="J41" i="1"/>
  <c r="N41" i="1"/>
  <c r="R41" i="1"/>
  <c r="V41" i="1"/>
  <c r="AE41" i="1"/>
  <c r="Z41" i="1"/>
  <c r="AD41" i="1"/>
  <c r="J42" i="1"/>
  <c r="N42" i="1"/>
  <c r="R42" i="1"/>
  <c r="V42" i="1"/>
  <c r="Z42" i="1"/>
  <c r="AD42" i="1"/>
  <c r="AE42" i="1"/>
  <c r="J43" i="1"/>
  <c r="N43" i="1"/>
  <c r="R43" i="1"/>
  <c r="V43" i="1"/>
  <c r="Z43" i="1"/>
  <c r="AD43" i="1"/>
  <c r="AE43" i="1"/>
  <c r="AE18" i="1"/>
  <c r="AE30" i="1"/>
  <c r="AE66" i="1"/>
  <c r="AE81" i="1"/>
  <c r="AE75" i="1"/>
  <c r="AE67" i="1"/>
  <c r="AE61" i="1"/>
  <c r="AE74" i="1"/>
  <c r="AE60" i="1"/>
  <c r="AE73" i="1"/>
  <c r="AE76" i="1"/>
  <c r="AE62" i="1"/>
  <c r="AE65" i="1"/>
  <c r="AE86" i="1" l="1"/>
</calcChain>
</file>

<file path=xl/sharedStrings.xml><?xml version="1.0" encoding="utf-8"?>
<sst xmlns="http://schemas.openxmlformats.org/spreadsheetml/2006/main" count="271" uniqueCount="66">
  <si>
    <t xml:space="preserve">              </t>
  </si>
  <si>
    <t>الحكومـــة</t>
  </si>
  <si>
    <t>البــلديات</t>
  </si>
  <si>
    <t xml:space="preserve"> </t>
  </si>
  <si>
    <t>Private Sector (Non-Resident)</t>
  </si>
  <si>
    <t>Government</t>
  </si>
  <si>
    <t>Semi-Government</t>
  </si>
  <si>
    <t>Municipalities</t>
  </si>
  <si>
    <t>Public Entities</t>
  </si>
  <si>
    <t>Private Sector (Resident)</t>
  </si>
  <si>
    <t>المجموع</t>
  </si>
  <si>
    <t>العام</t>
  </si>
  <si>
    <t>نهاية</t>
  </si>
  <si>
    <t>End of</t>
  </si>
  <si>
    <t>تحت</t>
  </si>
  <si>
    <t>الفترة</t>
  </si>
  <si>
    <t>Period</t>
  </si>
  <si>
    <t>توفير</t>
  </si>
  <si>
    <t>الطلب</t>
  </si>
  <si>
    <t>Grand</t>
  </si>
  <si>
    <t>Time</t>
  </si>
  <si>
    <t>Saving</t>
  </si>
  <si>
    <t>Demand</t>
  </si>
  <si>
    <t>Total</t>
  </si>
  <si>
    <t>القطاع الخاص (غير مقيم)</t>
  </si>
  <si>
    <t>مؤسسات  شبه حكومية</t>
  </si>
  <si>
    <t>المؤسسات العامة</t>
  </si>
  <si>
    <t>القطاع الخاص(مقيم)</t>
  </si>
  <si>
    <t>مليون دينار</t>
  </si>
  <si>
    <t>:</t>
  </si>
  <si>
    <t xml:space="preserve">JD Million </t>
  </si>
  <si>
    <t>الجهة المودعة</t>
  </si>
  <si>
    <t>بالدينار الاردني</t>
  </si>
  <si>
    <t>بالعملة الاجنبية</t>
  </si>
  <si>
    <t xml:space="preserve"> Currencies</t>
  </si>
  <si>
    <t>In Foreign</t>
  </si>
  <si>
    <t>In JD</t>
  </si>
  <si>
    <t>Deposits by currency</t>
  </si>
  <si>
    <t xml:space="preserve">الودائع حسب العملة </t>
  </si>
  <si>
    <t xml:space="preserve"> By Depositor</t>
  </si>
  <si>
    <t xml:space="preserve">TABLE NO. (10) :  DEPOSITS WITH LICENSED BANKS BY DEPOSITOR AND TYPE </t>
  </si>
  <si>
    <t>جدول رقم (10) : الودائع لدى البنوك المرخصة حسب الجهة المودعة ونوع الوديعة</t>
  </si>
  <si>
    <t>TABLE NO. (10) :  DEPOSITS WITH LICENSED BANKS BY DEPOSITOR AND TYPE (CONTINUED)</t>
  </si>
  <si>
    <t>جدول رقم (10) : الودائع لدى البنوك المرخصة حسب الجهة المودعة ونوع الوديعة (تابع)</t>
  </si>
  <si>
    <t>-</t>
  </si>
  <si>
    <t>لأجــل</t>
  </si>
  <si>
    <t>جدول رقم (10) : الودائع لدى البنوك المرخصة حسب الجهة المودعة ونوع الوديعة (تابع)</t>
  </si>
  <si>
    <t>جدول رقم (10) :الودائع لدى البنوك المرخصة حسب الجهة المودعة ونوع الوديعة (تابع)</t>
  </si>
  <si>
    <t xml:space="preserve">Deposits by Currency </t>
  </si>
  <si>
    <t>الحكومـــة المركزية</t>
  </si>
  <si>
    <t>مؤسسات مالية غير مصرفية</t>
  </si>
  <si>
    <t>البــلديات والمجالس القروية</t>
  </si>
  <si>
    <t>القطاع الخاص (مقيم)</t>
  </si>
  <si>
    <t>Central Government</t>
  </si>
  <si>
    <t>Non-Banking Financial Institutions</t>
  </si>
  <si>
    <t>Municipalities &amp; Local Governments</t>
  </si>
  <si>
    <r>
      <t>1993</t>
    </r>
    <r>
      <rPr>
        <vertAlign val="superscript"/>
        <sz val="16"/>
        <rFont val="Times New Roman"/>
        <family val="1"/>
      </rPr>
      <t>(1)</t>
    </r>
  </si>
  <si>
    <r>
      <rPr>
        <vertAlign val="superscript"/>
        <sz val="12"/>
        <rFont val="Times New Roman"/>
        <family val="1"/>
      </rPr>
      <t>(1)</t>
    </r>
    <r>
      <rPr>
        <sz val="16"/>
        <rFont val="Times New Roman"/>
        <family val="1"/>
      </rPr>
      <t>1993</t>
    </r>
  </si>
  <si>
    <r>
      <t>1998</t>
    </r>
    <r>
      <rPr>
        <vertAlign val="superscript"/>
        <sz val="16"/>
        <rFont val="Times New Roman"/>
        <family val="1"/>
      </rPr>
      <t>(2)</t>
    </r>
  </si>
  <si>
    <r>
      <rPr>
        <vertAlign val="superscript"/>
        <sz val="12"/>
        <rFont val="Times New Roman"/>
        <family val="1"/>
      </rPr>
      <t>(2)</t>
    </r>
    <r>
      <rPr>
        <sz val="16"/>
        <rFont val="Times New Roman"/>
        <family val="1"/>
      </rPr>
      <t>1998</t>
    </r>
  </si>
  <si>
    <t xml:space="preserve">   (1)  :  Effective December 1993,Data were Reclassified According to New Definitions</t>
  </si>
  <si>
    <t xml:space="preserve">  (1)  :  تم اعادة تصنيف البيانات اعتبارا من كانون اول 1993 بموجب </t>
  </si>
  <si>
    <t xml:space="preserve">             of Monetary Sectors.</t>
  </si>
  <si>
    <t xml:space="preserve">            تعاريف جديدة للقطاعات النقدية.</t>
  </si>
  <si>
    <t xml:space="preserve">   (2)   :  Public Sector Accounts were Reclassified.</t>
  </si>
  <si>
    <t xml:space="preserve">  (2)  :  تم اعادة تصنيف حسابات مؤسسات القطاع العام.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</si>
</sst>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7">
    <font>
      <sz val="10"/>
      <name val="Geneva"/>
    </font>
    <font>
      <b/>
      <sz val="20"/>
      <name val="Times New Roman (Arabic)"/>
      <family val="1"/>
      <charset val="178"/>
    </font>
    <font>
      <sz val="20"/>
      <name val="Times New Roman (Arabic)"/>
      <family val="1"/>
      <charset val="178"/>
    </font>
    <font>
      <sz val="18"/>
      <name val="Times New Roman (Arabic)"/>
      <family val="1"/>
      <charset val="178"/>
    </font>
    <font>
      <b/>
      <sz val="14"/>
      <name val="Times New Roman (Arabic)"/>
      <family val="1"/>
      <charset val="178"/>
    </font>
    <font>
      <b/>
      <sz val="18"/>
      <name val="Times New Roman (Arabic)"/>
      <family val="1"/>
      <charset val="178"/>
    </font>
    <font>
      <sz val="16"/>
      <name val="Times New Roman (Arabic)"/>
      <family val="1"/>
      <charset val="178"/>
    </font>
    <font>
      <sz val="14"/>
      <name val="Times New Roman (Arabic)"/>
      <family val="1"/>
      <charset val="178"/>
    </font>
    <font>
      <b/>
      <sz val="16"/>
      <name val="Times New Roman (Arabic)"/>
      <family val="1"/>
      <charset val="178"/>
    </font>
    <font>
      <b/>
      <sz val="12"/>
      <name val="Times New Roman (Arabic)"/>
      <family val="1"/>
      <charset val="178"/>
    </font>
    <font>
      <sz val="12"/>
      <name val="Times New Roman (Arabic)"/>
      <family val="1"/>
      <charset val="178"/>
    </font>
    <font>
      <sz val="14"/>
      <name val="Times New Roman (Arabic)"/>
      <charset val="178"/>
    </font>
    <font>
      <sz val="16"/>
      <name val="Times New Roman"/>
      <family val="1"/>
    </font>
    <font>
      <vertAlign val="superscript"/>
      <sz val="16"/>
      <name val="Times New Roman"/>
      <family val="1"/>
    </font>
    <font>
      <vertAlign val="superscript"/>
      <sz val="12"/>
      <name val="Times New Roman"/>
      <family val="1"/>
    </font>
    <font>
      <sz val="12"/>
      <color rgb="FF222222"/>
      <name val="Arial"/>
      <family val="2"/>
    </font>
    <font>
      <sz val="14"/>
      <name val="Cambria"/>
      <family val="1"/>
      <scheme val="major"/>
    </font>
    <font>
      <i/>
      <sz val="14"/>
      <name val="Cambria"/>
      <family val="1"/>
      <scheme val="major"/>
    </font>
    <font>
      <sz val="16"/>
      <name val="Cambria"/>
      <family val="1"/>
      <scheme val="major"/>
    </font>
    <font>
      <b/>
      <sz val="16"/>
      <name val="Cambria"/>
      <family val="1"/>
      <scheme val="major"/>
    </font>
    <font>
      <b/>
      <sz val="14"/>
      <name val="Cambria"/>
      <family val="1"/>
      <scheme val="major"/>
    </font>
    <font>
      <b/>
      <i/>
      <sz val="14"/>
      <name val="Cambria"/>
      <family val="1"/>
      <scheme val="major"/>
    </font>
    <font>
      <vertAlign val="superscript"/>
      <sz val="16"/>
      <name val="Cambria"/>
      <family val="1"/>
      <scheme val="major"/>
    </font>
    <font>
      <sz val="12"/>
      <name val="Cambria"/>
      <family val="1"/>
      <scheme val="major"/>
    </font>
    <font>
      <b/>
      <sz val="12"/>
      <name val="Cambria"/>
      <family val="1"/>
      <scheme val="major"/>
    </font>
    <font>
      <b/>
      <sz val="20"/>
      <name val="Cambria"/>
      <family val="1"/>
      <scheme val="major"/>
    </font>
    <font>
      <b/>
      <sz val="18"/>
      <name val="Cambria"/>
      <family val="1"/>
      <scheme val="maj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4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indexed="64"/>
      </top>
      <bottom/>
      <diagonal/>
    </border>
    <border>
      <left/>
      <right/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/>
      <right/>
      <top/>
      <bottom style="thin">
        <color theme="0" tint="-4.9989318521683403E-2"/>
      </bottom>
      <diagonal/>
    </border>
    <border>
      <left style="thin">
        <color theme="0" tint="-4.9989318521683403E-2"/>
      </left>
      <right/>
      <top/>
      <bottom style="thin">
        <color theme="0" tint="-4.9989318521683403E-2"/>
      </bottom>
      <diagonal/>
    </border>
    <border>
      <left/>
      <right style="thin">
        <color theme="0" tint="-4.9989318521683403E-2"/>
      </right>
      <top/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/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/>
      <right style="thin">
        <color theme="0" tint="-4.9989318521683403E-2"/>
      </right>
      <top/>
      <bottom style="thin">
        <color indexed="64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 style="thin">
        <color theme="0" tint="-4.9989318521683403E-2"/>
      </left>
      <right/>
      <top/>
      <bottom/>
      <diagonal/>
    </border>
    <border>
      <left style="thin">
        <color theme="0" tint="-4.9989318521683403E-2"/>
      </left>
      <right/>
      <top/>
      <bottom style="thin">
        <color indexed="64"/>
      </bottom>
      <diagonal/>
    </border>
    <border>
      <left style="thin">
        <color theme="0" tint="-4.9989318521683403E-2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 tint="-4.9989318521683403E-2"/>
      </left>
      <right style="thin">
        <color theme="0"/>
      </right>
      <top/>
      <bottom style="thin">
        <color theme="0" tint="-4.9989318521683403E-2"/>
      </bottom>
      <diagonal/>
    </border>
    <border>
      <left style="thin">
        <color theme="0"/>
      </left>
      <right style="thin">
        <color theme="0"/>
      </right>
      <top/>
      <bottom style="thin">
        <color theme="0" tint="-4.9989318521683403E-2"/>
      </bottom>
      <diagonal/>
    </border>
    <border>
      <left style="thin">
        <color theme="0"/>
      </left>
      <right/>
      <top/>
      <bottom style="thin">
        <color theme="0" tint="-4.9989318521683403E-2"/>
      </bottom>
      <diagonal/>
    </border>
    <border>
      <left/>
      <right style="thin">
        <color theme="0"/>
      </right>
      <top/>
      <bottom style="thin">
        <color theme="0" tint="-4.9989318521683403E-2"/>
      </bottom>
      <diagonal/>
    </border>
    <border>
      <left style="thin">
        <color theme="0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indexed="64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indexed="64"/>
      </top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indexed="64"/>
      </top>
      <bottom style="thin">
        <color theme="0" tint="-4.9989318521683403E-2"/>
      </bottom>
      <diagonal/>
    </border>
  </borders>
  <cellStyleXfs count="1">
    <xf numFmtId="0" fontId="0" fillId="0" borderId="0"/>
  </cellStyleXfs>
  <cellXfs count="277">
    <xf numFmtId="0" fontId="0" fillId="0" borderId="0" xfId="0"/>
    <xf numFmtId="0" fontId="8" fillId="0" borderId="0" xfId="0" applyFont="1"/>
    <xf numFmtId="0" fontId="6" fillId="0" borderId="0" xfId="0" applyFont="1"/>
    <xf numFmtId="0" fontId="8" fillId="0" borderId="0" xfId="0" applyFont="1" applyBorder="1"/>
    <xf numFmtId="164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164" fontId="8" fillId="0" borderId="0" xfId="0" applyNumberFormat="1" applyFont="1"/>
    <xf numFmtId="0" fontId="8" fillId="0" borderId="0" xfId="0" applyFont="1" applyBorder="1" applyAlignment="1">
      <alignment horizontal="center"/>
    </xf>
    <xf numFmtId="0" fontId="8" fillId="0" borderId="0" xfId="0" applyFont="1" applyFill="1"/>
    <xf numFmtId="0" fontId="6" fillId="0" borderId="0" xfId="0" applyFont="1" applyFill="1" applyBorder="1"/>
    <xf numFmtId="0" fontId="6" fillId="0" borderId="0" xfId="0" applyFont="1" applyFill="1"/>
    <xf numFmtId="0" fontId="8" fillId="0" borderId="0" xfId="0" applyFont="1" applyFill="1" applyBorder="1"/>
    <xf numFmtId="0" fontId="10" fillId="0" borderId="0" xfId="0" applyFont="1" applyFill="1" applyBorder="1"/>
    <xf numFmtId="164" fontId="9" fillId="0" borderId="0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horizontal="center"/>
    </xf>
    <xf numFmtId="164" fontId="9" fillId="0" borderId="0" xfId="0" applyNumberFormat="1" applyFont="1" applyFill="1" applyBorder="1"/>
    <xf numFmtId="164" fontId="10" fillId="0" borderId="0" xfId="0" applyNumberFormat="1" applyFont="1" applyFill="1" applyBorder="1"/>
    <xf numFmtId="0" fontId="8" fillId="0" borderId="0" xfId="0" applyFont="1" applyBorder="1" applyAlignment="1">
      <alignment horizontal="left"/>
    </xf>
    <xf numFmtId="0" fontId="2" fillId="0" borderId="0" xfId="0" applyFont="1" applyFill="1"/>
    <xf numFmtId="0" fontId="3" fillId="0" borderId="0" xfId="0" applyFont="1" applyFill="1"/>
    <xf numFmtId="0" fontId="7" fillId="0" borderId="0" xfId="0" applyFont="1" applyFill="1"/>
    <xf numFmtId="164" fontId="9" fillId="0" borderId="0" xfId="0" applyNumberFormat="1" applyFont="1" applyFill="1" applyAlignment="1">
      <alignment vertical="center"/>
    </xf>
    <xf numFmtId="0" fontId="10" fillId="0" borderId="0" xfId="0" applyFont="1" applyFill="1"/>
    <xf numFmtId="164" fontId="9" fillId="0" borderId="0" xfId="0" applyNumberFormat="1" applyFont="1" applyFill="1"/>
    <xf numFmtId="164" fontId="10" fillId="0" borderId="0" xfId="0" applyNumberFormat="1" applyFont="1" applyFill="1"/>
    <xf numFmtId="0" fontId="1" fillId="0" borderId="0" xfId="0" applyFont="1" applyFill="1"/>
    <xf numFmtId="0" fontId="5" fillId="0" borderId="0" xfId="0" applyFont="1" applyFill="1"/>
    <xf numFmtId="0" fontId="4" fillId="0" borderId="0" xfId="0" applyFont="1" applyFill="1"/>
    <xf numFmtId="164" fontId="6" fillId="3" borderId="0" xfId="0" applyNumberFormat="1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left"/>
    </xf>
    <xf numFmtId="0" fontId="8" fillId="3" borderId="0" xfId="0" applyFont="1" applyFill="1" applyBorder="1" applyAlignment="1">
      <alignment horizontal="center"/>
    </xf>
    <xf numFmtId="164" fontId="8" fillId="3" borderId="0" xfId="0" applyNumberFormat="1" applyFont="1" applyFill="1" applyBorder="1" applyAlignment="1">
      <alignment horizontal="center" vertical="center"/>
    </xf>
    <xf numFmtId="0" fontId="6" fillId="3" borderId="0" xfId="0" applyFont="1" applyFill="1" applyBorder="1"/>
    <xf numFmtId="0" fontId="8" fillId="3" borderId="0" xfId="0" applyFont="1" applyFill="1"/>
    <xf numFmtId="0" fontId="6" fillId="3" borderId="0" xfId="0" applyFont="1" applyFill="1"/>
    <xf numFmtId="164" fontId="6" fillId="0" borderId="0" xfId="0" applyNumberFormat="1" applyFont="1" applyFill="1" applyBorder="1"/>
    <xf numFmtId="164" fontId="6" fillId="3" borderId="0" xfId="0" applyNumberFormat="1" applyFont="1" applyFill="1"/>
    <xf numFmtId="164" fontId="6" fillId="0" borderId="0" xfId="0" applyNumberFormat="1" applyFont="1" applyFill="1"/>
    <xf numFmtId="0" fontId="15" fillId="0" borderId="0" xfId="0" applyFont="1"/>
    <xf numFmtId="0" fontId="8" fillId="3" borderId="1" xfId="0" applyFont="1" applyFill="1" applyBorder="1" applyAlignment="1">
      <alignment horizontal="center"/>
    </xf>
    <xf numFmtId="0" fontId="11" fillId="0" borderId="0" xfId="0" applyFont="1" applyFill="1"/>
    <xf numFmtId="0" fontId="16" fillId="0" borderId="0" xfId="0" applyFont="1"/>
    <xf numFmtId="0" fontId="16" fillId="0" borderId="0" xfId="0" applyFont="1" applyBorder="1"/>
    <xf numFmtId="0" fontId="16" fillId="0" borderId="0" xfId="0" applyFont="1" applyBorder="1" applyAlignment="1"/>
    <xf numFmtId="0" fontId="17" fillId="0" borderId="0" xfId="0" applyFont="1" applyBorder="1" applyAlignment="1">
      <alignment horizontal="center"/>
    </xf>
    <xf numFmtId="0" fontId="17" fillId="0" borderId="0" xfId="0" applyFont="1" applyAlignment="1">
      <alignment horizontal="center" vertical="center"/>
    </xf>
    <xf numFmtId="0" fontId="16" fillId="0" borderId="0" xfId="0" applyFont="1" applyAlignment="1">
      <alignment horizontal="center"/>
    </xf>
    <xf numFmtId="164" fontId="16" fillId="0" borderId="0" xfId="0" applyNumberFormat="1" applyFont="1"/>
    <xf numFmtId="0" fontId="16" fillId="0" borderId="0" xfId="0" applyFont="1" applyBorder="1" applyAlignment="1">
      <alignment horizontal="right"/>
    </xf>
    <xf numFmtId="0" fontId="18" fillId="0" borderId="0" xfId="0" applyFont="1" applyAlignment="1">
      <alignment horizontal="right"/>
    </xf>
    <xf numFmtId="0" fontId="18" fillId="0" borderId="2" xfId="0" applyFont="1" applyBorder="1"/>
    <xf numFmtId="0" fontId="18" fillId="0" borderId="0" xfId="0" applyFont="1"/>
    <xf numFmtId="0" fontId="18" fillId="0" borderId="0" xfId="0" applyFont="1" applyAlignment="1">
      <alignment horizontal="center"/>
    </xf>
    <xf numFmtId="164" fontId="18" fillId="0" borderId="2" xfId="0" applyNumberFormat="1" applyFont="1" applyBorder="1"/>
    <xf numFmtId="0" fontId="18" fillId="0" borderId="0" xfId="0" applyFont="1" applyBorder="1" applyAlignment="1">
      <alignment horizontal="center"/>
    </xf>
    <xf numFmtId="0" fontId="19" fillId="4" borderId="9" xfId="0" applyFont="1" applyFill="1" applyBorder="1" applyAlignment="1">
      <alignment horizontal="centerContinuous"/>
    </xf>
    <xf numFmtId="0" fontId="19" fillId="4" borderId="10" xfId="0" applyFont="1" applyFill="1" applyBorder="1"/>
    <xf numFmtId="0" fontId="18" fillId="4" borderId="10" xfId="0" applyFont="1" applyFill="1" applyBorder="1" applyAlignment="1">
      <alignment horizontal="center"/>
    </xf>
    <xf numFmtId="0" fontId="18" fillId="4" borderId="10" xfId="0" applyFont="1" applyFill="1" applyBorder="1"/>
    <xf numFmtId="0" fontId="19" fillId="4" borderId="11" xfId="0" applyFont="1" applyFill="1" applyBorder="1" applyAlignment="1">
      <alignment horizontal="left"/>
    </xf>
    <xf numFmtId="0" fontId="19" fillId="4" borderId="0" xfId="0" applyFont="1" applyFill="1" applyBorder="1"/>
    <xf numFmtId="0" fontId="18" fillId="4" borderId="0" xfId="0" applyFont="1" applyFill="1" applyBorder="1" applyAlignment="1">
      <alignment horizontal="center"/>
    </xf>
    <xf numFmtId="0" fontId="18" fillId="4" borderId="0" xfId="0" applyFont="1" applyFill="1" applyBorder="1" applyAlignment="1">
      <alignment horizontal="right"/>
    </xf>
    <xf numFmtId="0" fontId="18" fillId="4" borderId="0" xfId="0" applyFont="1" applyFill="1" applyBorder="1"/>
    <xf numFmtId="0" fontId="19" fillId="4" borderId="11" xfId="0" applyFont="1" applyFill="1" applyBorder="1" applyAlignment="1">
      <alignment horizontal="center"/>
    </xf>
    <xf numFmtId="0" fontId="19" fillId="4" borderId="12" xfId="0" applyFont="1" applyFill="1" applyBorder="1"/>
    <xf numFmtId="0" fontId="18" fillId="4" borderId="12" xfId="0" applyFont="1" applyFill="1" applyBorder="1" applyAlignment="1">
      <alignment horizontal="center"/>
    </xf>
    <xf numFmtId="0" fontId="18" fillId="4" borderId="12" xfId="0" applyFont="1" applyFill="1" applyBorder="1" applyAlignment="1">
      <alignment horizontal="right"/>
    </xf>
    <xf numFmtId="0" fontId="18" fillId="4" borderId="12" xfId="0" applyFont="1" applyFill="1" applyBorder="1"/>
    <xf numFmtId="0" fontId="18" fillId="4" borderId="13" xfId="0" applyFont="1" applyFill="1" applyBorder="1" applyAlignment="1">
      <alignment horizontal="centerContinuous"/>
    </xf>
    <xf numFmtId="0" fontId="18" fillId="4" borderId="12" xfId="0" applyFont="1" applyFill="1" applyBorder="1" applyAlignment="1">
      <alignment horizontal="centerContinuous"/>
    </xf>
    <xf numFmtId="0" fontId="18" fillId="4" borderId="14" xfId="0" applyFont="1" applyFill="1" applyBorder="1" applyAlignment="1">
      <alignment horizontal="centerContinuous"/>
    </xf>
    <xf numFmtId="164" fontId="18" fillId="4" borderId="12" xfId="0" applyNumberFormat="1" applyFont="1" applyFill="1" applyBorder="1" applyAlignment="1">
      <alignment horizontal="centerContinuous"/>
    </xf>
    <xf numFmtId="0" fontId="19" fillId="4" borderId="15" xfId="0" applyFont="1" applyFill="1" applyBorder="1" applyAlignment="1">
      <alignment horizontal="center"/>
    </xf>
    <xf numFmtId="0" fontId="19" fillId="4" borderId="16" xfId="0" applyFont="1" applyFill="1" applyBorder="1" applyAlignment="1">
      <alignment horizontal="center"/>
    </xf>
    <xf numFmtId="0" fontId="18" fillId="4" borderId="16" xfId="0" applyFont="1" applyFill="1" applyBorder="1" applyAlignment="1">
      <alignment horizontal="center"/>
    </xf>
    <xf numFmtId="0" fontId="19" fillId="4" borderId="16" xfId="0" applyFont="1" applyFill="1" applyBorder="1"/>
    <xf numFmtId="0" fontId="18" fillId="4" borderId="16" xfId="0" applyFont="1" applyFill="1" applyBorder="1"/>
    <xf numFmtId="164" fontId="18" fillId="4" borderId="0" xfId="0" applyNumberFormat="1" applyFont="1" applyFill="1" applyBorder="1" applyAlignment="1">
      <alignment horizontal="center"/>
    </xf>
    <xf numFmtId="0" fontId="18" fillId="4" borderId="17" xfId="0" applyFont="1" applyFill="1" applyBorder="1" applyAlignment="1">
      <alignment horizontal="center"/>
    </xf>
    <xf numFmtId="0" fontId="18" fillId="4" borderId="11" xfId="0" applyFont="1" applyFill="1" applyBorder="1" applyAlignment="1">
      <alignment horizontal="center"/>
    </xf>
    <xf numFmtId="164" fontId="18" fillId="4" borderId="11" xfId="0" applyNumberFormat="1" applyFont="1" applyFill="1" applyBorder="1" applyAlignment="1">
      <alignment horizontal="center"/>
    </xf>
    <xf numFmtId="164" fontId="18" fillId="4" borderId="14" xfId="0" applyNumberFormat="1" applyFont="1" applyFill="1" applyBorder="1" applyAlignment="1">
      <alignment horizontal="center"/>
    </xf>
    <xf numFmtId="164" fontId="18" fillId="4" borderId="18" xfId="0" applyNumberFormat="1" applyFont="1" applyFill="1" applyBorder="1" applyAlignment="1">
      <alignment horizontal="center"/>
    </xf>
    <xf numFmtId="164" fontId="18" fillId="4" borderId="12" xfId="0" applyNumberFormat="1" applyFont="1" applyFill="1" applyBorder="1" applyAlignment="1">
      <alignment horizontal="center"/>
    </xf>
    <xf numFmtId="0" fontId="19" fillId="4" borderId="18" xfId="0" applyFont="1" applyFill="1" applyBorder="1" applyAlignment="1">
      <alignment horizontal="center"/>
    </xf>
    <xf numFmtId="164" fontId="18" fillId="5" borderId="0" xfId="0" applyNumberFormat="1" applyFont="1" applyFill="1" applyAlignment="1">
      <alignment horizontal="center" vertical="center"/>
    </xf>
    <xf numFmtId="164" fontId="18" fillId="5" borderId="0" xfId="0" applyNumberFormat="1" applyFont="1" applyFill="1" applyBorder="1" applyAlignment="1">
      <alignment horizontal="center" vertical="center"/>
    </xf>
    <xf numFmtId="164" fontId="19" fillId="5" borderId="17" xfId="0" applyNumberFormat="1" applyFont="1" applyFill="1" applyBorder="1" applyAlignment="1">
      <alignment horizontal="center" vertical="center"/>
    </xf>
    <xf numFmtId="164" fontId="18" fillId="2" borderId="0" xfId="0" applyNumberFormat="1" applyFont="1" applyFill="1" applyAlignment="1">
      <alignment horizontal="center" vertical="center"/>
    </xf>
    <xf numFmtId="164" fontId="18" fillId="2" borderId="0" xfId="0" applyNumberFormat="1" applyFont="1" applyFill="1" applyBorder="1" applyAlignment="1">
      <alignment horizontal="center" vertical="center"/>
    </xf>
    <xf numFmtId="164" fontId="19" fillId="2" borderId="17" xfId="0" applyNumberFormat="1" applyFont="1" applyFill="1" applyBorder="1" applyAlignment="1">
      <alignment horizontal="center" vertical="center"/>
    </xf>
    <xf numFmtId="164" fontId="18" fillId="5" borderId="2" xfId="0" applyNumberFormat="1" applyFont="1" applyFill="1" applyBorder="1" applyAlignment="1">
      <alignment horizontal="center" vertical="center"/>
    </xf>
    <xf numFmtId="164" fontId="19" fillId="5" borderId="2" xfId="0" applyNumberFormat="1" applyFont="1" applyFill="1" applyBorder="1" applyAlignment="1">
      <alignment horizontal="center" vertical="center"/>
    </xf>
    <xf numFmtId="164" fontId="19" fillId="5" borderId="19" xfId="0" applyNumberFormat="1" applyFont="1" applyFill="1" applyBorder="1" applyAlignment="1">
      <alignment horizontal="center" vertical="center"/>
    </xf>
    <xf numFmtId="0" fontId="18" fillId="5" borderId="2" xfId="0" applyFont="1" applyFill="1" applyBorder="1" applyAlignment="1">
      <alignment horizontal="center" vertical="center"/>
    </xf>
    <xf numFmtId="0" fontId="18" fillId="5" borderId="3" xfId="0" applyFont="1" applyFill="1" applyBorder="1" applyAlignment="1">
      <alignment vertical="center"/>
    </xf>
    <xf numFmtId="0" fontId="18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center" vertical="center"/>
    </xf>
    <xf numFmtId="164" fontId="16" fillId="0" borderId="0" xfId="0" applyNumberFormat="1" applyFont="1" applyAlignment="1">
      <alignment horizontal="center"/>
    </xf>
    <xf numFmtId="0" fontId="17" fillId="0" borderId="0" xfId="0" applyFont="1" applyAlignment="1">
      <alignment horizontal="center"/>
    </xf>
    <xf numFmtId="0" fontId="18" fillId="0" borderId="2" xfId="0" applyFont="1" applyBorder="1" applyAlignment="1">
      <alignment horizontal="left"/>
    </xf>
    <xf numFmtId="0" fontId="18" fillId="0" borderId="2" xfId="0" applyFont="1" applyBorder="1" applyAlignment="1">
      <alignment horizontal="center"/>
    </xf>
    <xf numFmtId="164" fontId="18" fillId="0" borderId="2" xfId="0" applyNumberFormat="1" applyFont="1" applyBorder="1" applyAlignment="1">
      <alignment horizontal="center"/>
    </xf>
    <xf numFmtId="164" fontId="18" fillId="4" borderId="20" xfId="0" applyNumberFormat="1" applyFont="1" applyFill="1" applyBorder="1" applyAlignment="1">
      <alignment horizontal="centerContinuous"/>
    </xf>
    <xf numFmtId="164" fontId="18" fillId="4" borderId="10" xfId="0" applyNumberFormat="1" applyFont="1" applyFill="1" applyBorder="1" applyAlignment="1">
      <alignment horizontal="centerContinuous"/>
    </xf>
    <xf numFmtId="0" fontId="18" fillId="4" borderId="15" xfId="0" applyFont="1" applyFill="1" applyBorder="1" applyAlignment="1">
      <alignment horizontal="centerContinuous"/>
    </xf>
    <xf numFmtId="0" fontId="18" fillId="4" borderId="10" xfId="0" applyFont="1" applyFill="1" applyBorder="1" applyAlignment="1">
      <alignment horizontal="centerContinuous"/>
    </xf>
    <xf numFmtId="164" fontId="18" fillId="4" borderId="21" xfId="0" applyNumberFormat="1" applyFont="1" applyFill="1" applyBorder="1" applyAlignment="1">
      <alignment horizontal="centerContinuous"/>
    </xf>
    <xf numFmtId="164" fontId="18" fillId="4" borderId="0" xfId="0" applyNumberFormat="1" applyFont="1" applyFill="1" applyBorder="1" applyAlignment="1">
      <alignment horizontal="centerContinuous"/>
    </xf>
    <xf numFmtId="0" fontId="18" fillId="4" borderId="17" xfId="0" applyFont="1" applyFill="1" applyBorder="1" applyAlignment="1">
      <alignment horizontal="centerContinuous"/>
    </xf>
    <xf numFmtId="0" fontId="18" fillId="4" borderId="0" xfId="0" applyFont="1" applyFill="1" applyBorder="1" applyAlignment="1">
      <alignment horizontal="centerContinuous"/>
    </xf>
    <xf numFmtId="0" fontId="18" fillId="4" borderId="11" xfId="0" applyFont="1" applyFill="1" applyBorder="1"/>
    <xf numFmtId="164" fontId="18" fillId="4" borderId="13" xfId="0" applyNumberFormat="1" applyFont="1" applyFill="1" applyBorder="1" applyAlignment="1">
      <alignment horizontal="centerContinuous"/>
    </xf>
    <xf numFmtId="164" fontId="19" fillId="4" borderId="16" xfId="0" applyNumberFormat="1" applyFont="1" applyFill="1" applyBorder="1" applyAlignment="1">
      <alignment horizontal="center"/>
    </xf>
    <xf numFmtId="0" fontId="19" fillId="4" borderId="20" xfId="0" applyFont="1" applyFill="1" applyBorder="1" applyAlignment="1">
      <alignment horizontal="center"/>
    </xf>
    <xf numFmtId="164" fontId="18" fillId="4" borderId="21" xfId="0" applyNumberFormat="1" applyFont="1" applyFill="1" applyBorder="1" applyAlignment="1">
      <alignment horizontal="center"/>
    </xf>
    <xf numFmtId="0" fontId="18" fillId="4" borderId="11" xfId="0" applyFont="1" applyFill="1" applyBorder="1" applyAlignment="1">
      <alignment horizontal="centerContinuous"/>
    </xf>
    <xf numFmtId="0" fontId="18" fillId="4" borderId="18" xfId="0" applyFont="1" applyFill="1" applyBorder="1" applyAlignment="1">
      <alignment horizontal="center"/>
    </xf>
    <xf numFmtId="164" fontId="18" fillId="4" borderId="13" xfId="0" applyNumberFormat="1" applyFont="1" applyFill="1" applyBorder="1" applyAlignment="1">
      <alignment horizontal="center"/>
    </xf>
    <xf numFmtId="164" fontId="19" fillId="5" borderId="21" xfId="0" applyNumberFormat="1" applyFont="1" applyFill="1" applyBorder="1" applyAlignment="1">
      <alignment horizontal="center" vertical="center"/>
    </xf>
    <xf numFmtId="164" fontId="19" fillId="2" borderId="21" xfId="0" applyNumberFormat="1" applyFont="1" applyFill="1" applyBorder="1" applyAlignment="1">
      <alignment horizontal="center" vertical="center"/>
    </xf>
    <xf numFmtId="164" fontId="18" fillId="3" borderId="0" xfId="0" applyNumberFormat="1" applyFont="1" applyFill="1" applyBorder="1" applyAlignment="1">
      <alignment horizontal="center" vertical="center"/>
    </xf>
    <xf numFmtId="164" fontId="18" fillId="5" borderId="21" xfId="0" applyNumberFormat="1" applyFont="1" applyFill="1" applyBorder="1" applyAlignment="1">
      <alignment horizontal="center" vertical="center"/>
    </xf>
    <xf numFmtId="164" fontId="18" fillId="5" borderId="17" xfId="0" applyNumberFormat="1" applyFont="1" applyFill="1" applyBorder="1" applyAlignment="1">
      <alignment horizontal="center" vertical="center"/>
    </xf>
    <xf numFmtId="0" fontId="18" fillId="2" borderId="21" xfId="0" applyFont="1" applyFill="1" applyBorder="1" applyAlignment="1">
      <alignment horizontal="center" vertical="center"/>
    </xf>
    <xf numFmtId="0" fontId="18" fillId="2" borderId="17" xfId="0" applyFont="1" applyFill="1" applyBorder="1" applyAlignment="1">
      <alignment horizontal="center" vertical="center"/>
    </xf>
    <xf numFmtId="0" fontId="18" fillId="5" borderId="4" xfId="0" applyFont="1" applyFill="1" applyBorder="1" applyAlignment="1">
      <alignment horizontal="center" vertical="center"/>
    </xf>
    <xf numFmtId="0" fontId="18" fillId="5" borderId="2" xfId="0" applyFont="1" applyFill="1" applyBorder="1" applyAlignment="1">
      <alignment vertical="center"/>
    </xf>
    <xf numFmtId="0" fontId="19" fillId="5" borderId="22" xfId="0" applyFont="1" applyFill="1" applyBorder="1" applyAlignment="1">
      <alignment horizontal="center" vertical="center"/>
    </xf>
    <xf numFmtId="0" fontId="19" fillId="5" borderId="19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horizontal="center"/>
    </xf>
    <xf numFmtId="0" fontId="18" fillId="5" borderId="0" xfId="0" applyFont="1" applyFill="1" applyBorder="1" applyAlignment="1">
      <alignment horizontal="center" vertical="center"/>
    </xf>
    <xf numFmtId="0" fontId="18" fillId="3" borderId="0" xfId="0" applyFont="1" applyFill="1" applyBorder="1" applyAlignment="1">
      <alignment horizontal="center" vertical="center"/>
    </xf>
    <xf numFmtId="0" fontId="18" fillId="5" borderId="0" xfId="0" applyFont="1" applyFill="1" applyBorder="1" applyAlignment="1">
      <alignment horizontal="center" vertical="center"/>
    </xf>
    <xf numFmtId="0" fontId="20" fillId="0" borderId="0" xfId="0" applyFont="1" applyBorder="1" applyAlignment="1">
      <alignment horizontal="left" vertical="center"/>
    </xf>
    <xf numFmtId="0" fontId="20" fillId="0" borderId="0" xfId="0" applyFont="1" applyBorder="1" applyAlignment="1">
      <alignment horizontal="center" vertical="center"/>
    </xf>
    <xf numFmtId="0" fontId="20" fillId="0" borderId="0" xfId="0" applyFont="1" applyAlignment="1">
      <alignment horizontal="center"/>
    </xf>
    <xf numFmtId="164" fontId="20" fillId="0" borderId="0" xfId="0" applyNumberFormat="1" applyFont="1" applyAlignment="1">
      <alignment horizontal="center"/>
    </xf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center" vertical="center"/>
    </xf>
    <xf numFmtId="0" fontId="20" fillId="0" borderId="0" xfId="0" applyFont="1"/>
    <xf numFmtId="0" fontId="20" fillId="0" borderId="0" xfId="0" applyFont="1" applyBorder="1"/>
    <xf numFmtId="0" fontId="20" fillId="0" borderId="0" xfId="0" applyFont="1" applyBorder="1" applyAlignment="1"/>
    <xf numFmtId="0" fontId="21" fillId="0" borderId="0" xfId="0" applyFont="1" applyBorder="1" applyAlignment="1">
      <alignment horizontal="center"/>
    </xf>
    <xf numFmtId="164" fontId="20" fillId="0" borderId="0" xfId="0" applyNumberFormat="1" applyFont="1"/>
    <xf numFmtId="0" fontId="20" fillId="0" borderId="0" xfId="0" applyFont="1" applyBorder="1" applyAlignment="1">
      <alignment horizontal="right"/>
    </xf>
    <xf numFmtId="0" fontId="20" fillId="0" borderId="0" xfId="0" applyFont="1" applyAlignment="1">
      <alignment horizontal="right"/>
    </xf>
    <xf numFmtId="164" fontId="18" fillId="4" borderId="16" xfId="0" applyNumberFormat="1" applyFont="1" applyFill="1" applyBorder="1" applyAlignment="1">
      <alignment horizontal="centerContinuous"/>
    </xf>
    <xf numFmtId="0" fontId="18" fillId="4" borderId="16" xfId="0" applyFont="1" applyFill="1" applyBorder="1" applyAlignment="1">
      <alignment horizontal="centerContinuous"/>
    </xf>
    <xf numFmtId="0" fontId="19" fillId="4" borderId="0" xfId="0" applyFont="1" applyFill="1" applyBorder="1" applyAlignment="1">
      <alignment horizontal="left"/>
    </xf>
    <xf numFmtId="0" fontId="18" fillId="4" borderId="16" xfId="0" applyFont="1" applyFill="1" applyBorder="1" applyAlignment="1">
      <alignment vertical="center"/>
    </xf>
    <xf numFmtId="164" fontId="18" fillId="4" borderId="11" xfId="0" applyNumberFormat="1" applyFont="1" applyFill="1" applyBorder="1" applyAlignment="1">
      <alignment horizontal="centerContinuous"/>
    </xf>
    <xf numFmtId="0" fontId="19" fillId="4" borderId="0" xfId="0" applyFont="1" applyFill="1" applyBorder="1" applyAlignment="1">
      <alignment horizontal="center"/>
    </xf>
    <xf numFmtId="0" fontId="18" fillId="4" borderId="21" xfId="0" applyFont="1" applyFill="1" applyBorder="1" applyAlignment="1">
      <alignment horizontal="centerContinuous"/>
    </xf>
    <xf numFmtId="164" fontId="18" fillId="4" borderId="17" xfId="0" applyNumberFormat="1" applyFont="1" applyFill="1" applyBorder="1" applyAlignment="1">
      <alignment horizontal="centerContinuous"/>
    </xf>
    <xf numFmtId="164" fontId="19" fillId="4" borderId="23" xfId="0" applyNumberFormat="1" applyFont="1" applyFill="1" applyBorder="1" applyAlignment="1">
      <alignment horizontal="center"/>
    </xf>
    <xf numFmtId="164" fontId="19" fillId="4" borderId="24" xfId="0" applyNumberFormat="1" applyFont="1" applyFill="1" applyBorder="1" applyAlignment="1">
      <alignment horizontal="center"/>
    </xf>
    <xf numFmtId="164" fontId="18" fillId="4" borderId="24" xfId="0" applyNumberFormat="1" applyFont="1" applyFill="1" applyBorder="1" applyAlignment="1">
      <alignment horizontal="center"/>
    </xf>
    <xf numFmtId="0" fontId="18" fillId="4" borderId="24" xfId="0" applyFont="1" applyFill="1" applyBorder="1"/>
    <xf numFmtId="0" fontId="19" fillId="4" borderId="24" xfId="0" applyFont="1" applyFill="1" applyBorder="1" applyAlignment="1">
      <alignment horizontal="center"/>
    </xf>
    <xf numFmtId="0" fontId="19" fillId="4" borderId="25" xfId="0" applyFont="1" applyFill="1" applyBorder="1"/>
    <xf numFmtId="0" fontId="19" fillId="4" borderId="26" xfId="0" applyFont="1" applyFill="1" applyBorder="1" applyAlignment="1">
      <alignment horizontal="center"/>
    </xf>
    <xf numFmtId="0" fontId="19" fillId="4" borderId="24" xfId="0" applyFont="1" applyFill="1" applyBorder="1"/>
    <xf numFmtId="0" fontId="18" fillId="4" borderId="24" xfId="0" applyFont="1" applyFill="1" applyBorder="1" applyAlignment="1">
      <alignment horizontal="center"/>
    </xf>
    <xf numFmtId="0" fontId="19" fillId="4" borderId="27" xfId="0" applyFont="1" applyFill="1" applyBorder="1" applyAlignment="1">
      <alignment horizontal="center"/>
    </xf>
    <xf numFmtId="164" fontId="18" fillId="4" borderId="28" xfId="0" applyNumberFormat="1" applyFont="1" applyFill="1" applyBorder="1" applyAlignment="1">
      <alignment horizontal="center"/>
    </xf>
    <xf numFmtId="164" fontId="18" fillId="4" borderId="29" xfId="0" applyNumberFormat="1" applyFont="1" applyFill="1" applyBorder="1" applyAlignment="1">
      <alignment horizontal="center"/>
    </xf>
    <xf numFmtId="164" fontId="19" fillId="4" borderId="29" xfId="0" applyNumberFormat="1" applyFont="1" applyFill="1" applyBorder="1" applyAlignment="1">
      <alignment horizontal="center"/>
    </xf>
    <xf numFmtId="0" fontId="19" fillId="4" borderId="29" xfId="0" applyFont="1" applyFill="1" applyBorder="1" applyAlignment="1">
      <alignment horizontal="center"/>
    </xf>
    <xf numFmtId="0" fontId="18" fillId="4" borderId="29" xfId="0" applyFont="1" applyFill="1" applyBorder="1" applyAlignment="1">
      <alignment horizontal="center"/>
    </xf>
    <xf numFmtId="0" fontId="18" fillId="4" borderId="30" xfId="0" applyFont="1" applyFill="1" applyBorder="1" applyAlignment="1">
      <alignment horizontal="center"/>
    </xf>
    <xf numFmtId="0" fontId="18" fillId="4" borderId="31" xfId="0" applyFont="1" applyFill="1" applyBorder="1" applyAlignment="1">
      <alignment horizontal="center"/>
    </xf>
    <xf numFmtId="0" fontId="18" fillId="4" borderId="13" xfId="0" applyFont="1" applyFill="1" applyBorder="1" applyAlignment="1">
      <alignment horizontal="center"/>
    </xf>
    <xf numFmtId="164" fontId="18" fillId="4" borderId="32" xfId="0" applyNumberFormat="1" applyFont="1" applyFill="1" applyBorder="1" applyAlignment="1">
      <alignment horizontal="center"/>
    </xf>
    <xf numFmtId="164" fontId="18" fillId="4" borderId="33" xfId="0" applyNumberFormat="1" applyFont="1" applyFill="1" applyBorder="1" applyAlignment="1">
      <alignment horizontal="center"/>
    </xf>
    <xf numFmtId="164" fontId="18" fillId="4" borderId="34" xfId="0" applyNumberFormat="1" applyFont="1" applyFill="1" applyBorder="1" applyAlignment="1">
      <alignment horizontal="center"/>
    </xf>
    <xf numFmtId="164" fontId="18" fillId="4" borderId="35" xfId="0" applyNumberFormat="1" applyFont="1" applyFill="1" applyBorder="1" applyAlignment="1">
      <alignment horizontal="center"/>
    </xf>
    <xf numFmtId="0" fontId="19" fillId="4" borderId="36" xfId="0" applyFont="1" applyFill="1" applyBorder="1" applyAlignment="1">
      <alignment horizontal="center"/>
    </xf>
    <xf numFmtId="0" fontId="19" fillId="5" borderId="5" xfId="0" applyFont="1" applyFill="1" applyBorder="1" applyAlignment="1">
      <alignment horizontal="center" vertical="center"/>
    </xf>
    <xf numFmtId="0" fontId="19" fillId="5" borderId="0" xfId="0" applyFont="1" applyFill="1" applyBorder="1" applyAlignment="1">
      <alignment horizontal="center" vertical="center"/>
    </xf>
    <xf numFmtId="0" fontId="22" fillId="5" borderId="0" xfId="0" applyFont="1" applyFill="1" applyBorder="1" applyAlignment="1">
      <alignment horizontal="center" vertical="center"/>
    </xf>
    <xf numFmtId="0" fontId="18" fillId="5" borderId="6" xfId="0" applyFont="1" applyFill="1" applyBorder="1" applyAlignment="1">
      <alignment vertical="center"/>
    </xf>
    <xf numFmtId="0" fontId="19" fillId="3" borderId="5" xfId="0" applyFont="1" applyFill="1" applyBorder="1" applyAlignment="1">
      <alignment horizontal="center" vertical="center"/>
    </xf>
    <xf numFmtId="0" fontId="19" fillId="3" borderId="0" xfId="0" applyFont="1" applyFill="1" applyBorder="1" applyAlignment="1">
      <alignment horizontal="center" vertical="center"/>
    </xf>
    <xf numFmtId="164" fontId="18" fillId="3" borderId="21" xfId="0" applyNumberFormat="1" applyFont="1" applyFill="1" applyBorder="1" applyAlignment="1">
      <alignment horizontal="center" vertical="center"/>
    </xf>
    <xf numFmtId="164" fontId="18" fillId="3" borderId="17" xfId="0" applyNumberFormat="1" applyFont="1" applyFill="1" applyBorder="1" applyAlignment="1">
      <alignment horizontal="center" vertical="center"/>
    </xf>
    <xf numFmtId="164" fontId="19" fillId="3" borderId="17" xfId="0" applyNumberFormat="1" applyFont="1" applyFill="1" applyBorder="1" applyAlignment="1">
      <alignment horizontal="center" vertical="center"/>
    </xf>
    <xf numFmtId="0" fontId="18" fillId="3" borderId="6" xfId="0" applyFont="1" applyFill="1" applyBorder="1" applyAlignment="1">
      <alignment vertical="center"/>
    </xf>
    <xf numFmtId="0" fontId="22" fillId="3" borderId="0" xfId="0" applyFont="1" applyFill="1" applyBorder="1" applyAlignment="1">
      <alignment horizontal="center" vertical="center"/>
    </xf>
    <xf numFmtId="0" fontId="23" fillId="0" borderId="0" xfId="0" quotePrefix="1" applyFont="1" applyBorder="1" applyAlignment="1">
      <alignment horizontal="left"/>
    </xf>
    <xf numFmtId="0" fontId="23" fillId="0" borderId="0" xfId="0" quotePrefix="1" applyFont="1" applyBorder="1" applyAlignment="1"/>
    <xf numFmtId="0" fontId="23" fillId="0" borderId="0" xfId="0" applyFont="1" applyBorder="1"/>
    <xf numFmtId="0" fontId="24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left" vertical="center"/>
    </xf>
    <xf numFmtId="164" fontId="24" fillId="0" borderId="0" xfId="0" applyNumberFormat="1" applyFont="1" applyAlignment="1">
      <alignment vertical="center"/>
    </xf>
    <xf numFmtId="0" fontId="23" fillId="0" borderId="0" xfId="0" applyFont="1" applyBorder="1" applyAlignment="1">
      <alignment horizontal="right" vertical="center"/>
    </xf>
    <xf numFmtId="0" fontId="23" fillId="0" borderId="0" xfId="0" applyFont="1" applyBorder="1" applyAlignment="1">
      <alignment horizontal="center" vertical="center"/>
    </xf>
    <xf numFmtId="0" fontId="23" fillId="0" borderId="0" xfId="0" applyFont="1" applyAlignment="1">
      <alignment vertical="center"/>
    </xf>
    <xf numFmtId="0" fontId="23" fillId="0" borderId="0" xfId="0" applyFont="1" applyBorder="1" applyAlignment="1">
      <alignment horizontal="right"/>
    </xf>
    <xf numFmtId="0" fontId="23" fillId="0" borderId="0" xfId="0" quotePrefix="1" applyFont="1" applyBorder="1" applyAlignment="1">
      <alignment horizontal="center"/>
    </xf>
    <xf numFmtId="0" fontId="23" fillId="0" borderId="0" xfId="0" quotePrefix="1" applyFont="1" applyBorder="1" applyAlignment="1">
      <alignment horizontal="right" readingOrder="2"/>
    </xf>
    <xf numFmtId="0" fontId="16" fillId="0" borderId="0" xfId="0" quotePrefix="1" applyFont="1" applyBorder="1" applyAlignment="1">
      <alignment horizontal="left"/>
    </xf>
    <xf numFmtId="0" fontId="16" fillId="0" borderId="0" xfId="0" quotePrefix="1" applyFont="1" applyBorder="1" applyAlignment="1">
      <alignment horizontal="right" readingOrder="2"/>
    </xf>
    <xf numFmtId="0" fontId="16" fillId="0" borderId="0" xfId="0" applyFont="1" applyBorder="1" applyAlignment="1">
      <alignment horizontal="left"/>
    </xf>
    <xf numFmtId="0" fontId="23" fillId="0" borderId="0" xfId="0" applyFont="1" applyBorder="1" applyAlignment="1">
      <alignment horizontal="left"/>
    </xf>
    <xf numFmtId="0" fontId="24" fillId="0" borderId="0" xfId="0" applyFont="1" applyBorder="1" applyAlignment="1">
      <alignment horizontal="left" vertical="center"/>
    </xf>
    <xf numFmtId="164" fontId="23" fillId="0" borderId="0" xfId="0" applyNumberFormat="1" applyFont="1" applyBorder="1" applyAlignment="1">
      <alignment horizontal="left" vertical="center"/>
    </xf>
    <xf numFmtId="164" fontId="24" fillId="0" borderId="0" xfId="0" applyNumberFormat="1" applyFont="1" applyBorder="1" applyAlignment="1">
      <alignment vertical="center"/>
    </xf>
    <xf numFmtId="164" fontId="24" fillId="0" borderId="0" xfId="0" applyNumberFormat="1" applyFont="1" applyBorder="1"/>
    <xf numFmtId="0" fontId="23" fillId="0" borderId="0" xfId="0" applyFont="1" applyBorder="1" applyAlignment="1"/>
    <xf numFmtId="164" fontId="24" fillId="0" borderId="0" xfId="0" applyNumberFormat="1" applyFont="1" applyAlignment="1">
      <alignment horizontal="center"/>
    </xf>
    <xf numFmtId="164" fontId="24" fillId="0" borderId="0" xfId="0" applyNumberFormat="1" applyFont="1"/>
    <xf numFmtId="0" fontId="19" fillId="0" borderId="0" xfId="0" applyFont="1" applyFill="1" applyBorder="1"/>
    <xf numFmtId="0" fontId="18" fillId="2" borderId="0" xfId="0" applyFont="1" applyFill="1" applyBorder="1"/>
    <xf numFmtId="0" fontId="18" fillId="3" borderId="0" xfId="0" applyFont="1" applyFill="1" applyBorder="1" applyAlignment="1">
      <alignment horizontal="center" vertical="center"/>
    </xf>
    <xf numFmtId="0" fontId="18" fillId="5" borderId="0" xfId="0" applyFont="1" applyFill="1" applyBorder="1" applyAlignment="1">
      <alignment horizontal="center" vertical="center"/>
    </xf>
    <xf numFmtId="0" fontId="18" fillId="3" borderId="0" xfId="0" applyFont="1" applyFill="1" applyBorder="1" applyAlignment="1">
      <alignment horizontal="center" vertical="center"/>
    </xf>
    <xf numFmtId="0" fontId="18" fillId="5" borderId="0" xfId="0" applyFont="1" applyFill="1" applyBorder="1" applyAlignment="1">
      <alignment horizontal="center" vertical="center"/>
    </xf>
    <xf numFmtId="0" fontId="18" fillId="3" borderId="0" xfId="0" applyFont="1" applyFill="1" applyBorder="1" applyAlignment="1">
      <alignment horizontal="center" vertical="center"/>
    </xf>
    <xf numFmtId="0" fontId="18" fillId="5" borderId="0" xfId="0" applyFont="1" applyFill="1" applyBorder="1" applyAlignment="1">
      <alignment horizontal="center" vertical="center"/>
    </xf>
    <xf numFmtId="0" fontId="18" fillId="3" borderId="0" xfId="0" applyFont="1" applyFill="1" applyBorder="1" applyAlignment="1">
      <alignment horizontal="center" vertical="center"/>
    </xf>
    <xf numFmtId="0" fontId="18" fillId="4" borderId="5" xfId="0" applyFont="1" applyFill="1" applyBorder="1" applyAlignment="1">
      <alignment horizontal="center" vertical="top"/>
    </xf>
    <xf numFmtId="0" fontId="18" fillId="4" borderId="0" xfId="0" applyFont="1" applyFill="1" applyBorder="1" applyAlignment="1">
      <alignment horizontal="center" vertical="top"/>
    </xf>
    <xf numFmtId="0" fontId="18" fillId="4" borderId="17" xfId="0" applyFont="1" applyFill="1" applyBorder="1" applyAlignment="1">
      <alignment horizontal="center" vertical="top"/>
    </xf>
    <xf numFmtId="0" fontId="18" fillId="4" borderId="40" xfId="0" applyFont="1" applyFill="1" applyBorder="1" applyAlignment="1">
      <alignment horizontal="center" vertical="top"/>
    </xf>
    <xf numFmtId="0" fontId="18" fillId="4" borderId="12" xfId="0" applyFont="1" applyFill="1" applyBorder="1" applyAlignment="1">
      <alignment horizontal="center" vertical="top"/>
    </xf>
    <xf numFmtId="0" fontId="18" fillId="4" borderId="14" xfId="0" applyFont="1" applyFill="1" applyBorder="1" applyAlignment="1">
      <alignment horizontal="center" vertical="top"/>
    </xf>
    <xf numFmtId="0" fontId="18" fillId="4" borderId="21" xfId="0" applyFont="1" applyFill="1" applyBorder="1" applyAlignment="1">
      <alignment horizontal="center" vertical="top"/>
    </xf>
    <xf numFmtId="0" fontId="18" fillId="4" borderId="6" xfId="0" applyFont="1" applyFill="1" applyBorder="1" applyAlignment="1">
      <alignment horizontal="center" vertical="top"/>
    </xf>
    <xf numFmtId="0" fontId="18" fillId="4" borderId="13" xfId="0" applyFont="1" applyFill="1" applyBorder="1" applyAlignment="1">
      <alignment horizontal="center" vertical="top"/>
    </xf>
    <xf numFmtId="0" fontId="18" fillId="4" borderId="38" xfId="0" applyFont="1" applyFill="1" applyBorder="1" applyAlignment="1">
      <alignment horizontal="center" vertical="top"/>
    </xf>
    <xf numFmtId="164" fontId="18" fillId="4" borderId="16" xfId="0" applyNumberFormat="1" applyFont="1" applyFill="1" applyBorder="1" applyAlignment="1">
      <alignment horizontal="center"/>
    </xf>
    <xf numFmtId="0" fontId="18" fillId="4" borderId="16" xfId="0" applyFont="1" applyFill="1" applyBorder="1" applyAlignment="1">
      <alignment horizontal="center"/>
    </xf>
    <xf numFmtId="0" fontId="18" fillId="4" borderId="20" xfId="0" applyFont="1" applyFill="1" applyBorder="1" applyAlignment="1">
      <alignment horizontal="center"/>
    </xf>
    <xf numFmtId="0" fontId="18" fillId="4" borderId="15" xfId="0" applyFont="1" applyFill="1" applyBorder="1" applyAlignment="1">
      <alignment horizontal="center"/>
    </xf>
    <xf numFmtId="164" fontId="18" fillId="4" borderId="11" xfId="0" applyNumberFormat="1" applyFont="1" applyFill="1" applyBorder="1" applyAlignment="1">
      <alignment horizontal="center"/>
    </xf>
    <xf numFmtId="0" fontId="18" fillId="4" borderId="11" xfId="0" applyFont="1" applyFill="1" applyBorder="1" applyAlignment="1">
      <alignment horizontal="center" vertical="center"/>
    </xf>
    <xf numFmtId="0" fontId="18" fillId="4" borderId="21" xfId="0" applyFont="1" applyFill="1" applyBorder="1" applyAlignment="1">
      <alignment horizontal="center" vertical="center"/>
    </xf>
    <xf numFmtId="0" fontId="18" fillId="4" borderId="17" xfId="0" applyFont="1" applyFill="1" applyBorder="1" applyAlignment="1">
      <alignment horizontal="center"/>
    </xf>
    <xf numFmtId="0" fontId="18" fillId="4" borderId="11" xfId="0" applyFont="1" applyFill="1" applyBorder="1" applyAlignment="1">
      <alignment horizontal="center"/>
    </xf>
    <xf numFmtId="164" fontId="25" fillId="0" borderId="0" xfId="0" applyNumberFormat="1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18" fillId="4" borderId="8" xfId="0" applyFont="1" applyFill="1" applyBorder="1" applyAlignment="1">
      <alignment horizontal="center"/>
    </xf>
    <xf numFmtId="0" fontId="18" fillId="4" borderId="1" xfId="0" applyFont="1" applyFill="1" applyBorder="1" applyAlignment="1">
      <alignment horizontal="center"/>
    </xf>
    <xf numFmtId="0" fontId="18" fillId="4" borderId="39" xfId="0" applyFont="1" applyFill="1" applyBorder="1" applyAlignment="1">
      <alignment horizontal="center"/>
    </xf>
    <xf numFmtId="0" fontId="18" fillId="4" borderId="5" xfId="0" applyFont="1" applyFill="1" applyBorder="1" applyAlignment="1">
      <alignment horizontal="center"/>
    </xf>
    <xf numFmtId="0" fontId="18" fillId="4" borderId="0" xfId="0" applyFont="1" applyFill="1" applyBorder="1" applyAlignment="1">
      <alignment horizontal="center"/>
    </xf>
    <xf numFmtId="0" fontId="19" fillId="4" borderId="1" xfId="0" applyFont="1" applyFill="1" applyBorder="1" applyAlignment="1">
      <alignment horizontal="center" vertical="center"/>
    </xf>
    <xf numFmtId="0" fontId="19" fillId="4" borderId="39" xfId="0" applyFont="1" applyFill="1" applyBorder="1" applyAlignment="1">
      <alignment horizontal="center" vertical="center"/>
    </xf>
    <xf numFmtId="0" fontId="19" fillId="0" borderId="1" xfId="0" applyFont="1" applyBorder="1" applyAlignment="1">
      <alignment vertical="center"/>
    </xf>
    <xf numFmtId="0" fontId="18" fillId="4" borderId="37" xfId="0" applyFont="1" applyFill="1" applyBorder="1" applyAlignment="1">
      <alignment horizontal="center"/>
    </xf>
    <xf numFmtId="0" fontId="18" fillId="4" borderId="7" xfId="0" applyFont="1" applyFill="1" applyBorder="1" applyAlignment="1">
      <alignment horizontal="center"/>
    </xf>
    <xf numFmtId="0" fontId="18" fillId="4" borderId="21" xfId="0" applyFont="1" applyFill="1" applyBorder="1" applyAlignment="1">
      <alignment horizontal="center"/>
    </xf>
    <xf numFmtId="0" fontId="18" fillId="4" borderId="6" xfId="0" applyFont="1" applyFill="1" applyBorder="1" applyAlignment="1">
      <alignment horizontal="center"/>
    </xf>
    <xf numFmtId="0" fontId="19" fillId="4" borderId="13" xfId="0" applyFont="1" applyFill="1" applyBorder="1" applyAlignment="1">
      <alignment horizontal="center" vertical="center"/>
    </xf>
    <xf numFmtId="0" fontId="19" fillId="4" borderId="14" xfId="0" applyFont="1" applyFill="1" applyBorder="1" applyAlignment="1">
      <alignment horizontal="center" vertical="center"/>
    </xf>
    <xf numFmtId="0" fontId="19" fillId="4" borderId="41" xfId="0" applyFont="1" applyFill="1" applyBorder="1" applyAlignment="1">
      <alignment horizontal="center" vertical="center"/>
    </xf>
    <xf numFmtId="0" fontId="19" fillId="4" borderId="42" xfId="0" applyFont="1" applyFill="1" applyBorder="1" applyAlignment="1">
      <alignment horizontal="center" vertical="center"/>
    </xf>
    <xf numFmtId="0" fontId="19" fillId="4" borderId="43" xfId="0" applyFont="1" applyFill="1" applyBorder="1" applyAlignment="1">
      <alignment horizontal="center" vertical="center"/>
    </xf>
    <xf numFmtId="0" fontId="19" fillId="0" borderId="42" xfId="0" applyFont="1" applyBorder="1" applyAlignment="1">
      <alignment vertical="center"/>
    </xf>
    <xf numFmtId="0" fontId="19" fillId="0" borderId="43" xfId="0" applyFont="1" applyBorder="1" applyAlignment="1">
      <alignment vertical="center"/>
    </xf>
    <xf numFmtId="0" fontId="19" fillId="4" borderId="1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8" fillId="5" borderId="0" xfId="0" applyFont="1" applyFill="1" applyBorder="1" applyAlignment="1">
      <alignment horizontal="center" vertical="center"/>
    </xf>
    <xf numFmtId="0" fontId="18" fillId="5" borderId="6" xfId="0" applyFont="1" applyFill="1" applyBorder="1" applyAlignment="1">
      <alignment horizontal="center" vertical="center"/>
    </xf>
    <xf numFmtId="0" fontId="18" fillId="3" borderId="0" xfId="0" applyFont="1" applyFill="1" applyBorder="1" applyAlignment="1">
      <alignment horizontal="center" vertical="center"/>
    </xf>
    <xf numFmtId="0" fontId="18" fillId="2" borderId="6" xfId="0" applyFont="1" applyFill="1" applyBorder="1" applyAlignment="1">
      <alignment horizontal="center" vertical="center"/>
    </xf>
    <xf numFmtId="0" fontId="18" fillId="5" borderId="5" xfId="0" applyFont="1" applyFill="1" applyBorder="1" applyAlignment="1">
      <alignment horizontal="center" vertical="center"/>
    </xf>
    <xf numFmtId="0" fontId="18" fillId="3" borderId="5" xfId="0" applyFont="1" applyFill="1" applyBorder="1" applyAlignment="1">
      <alignment horizontal="center" vertical="center"/>
    </xf>
    <xf numFmtId="0" fontId="18" fillId="4" borderId="10" xfId="0" applyFont="1" applyFill="1" applyBorder="1" applyAlignment="1">
      <alignment horizontal="center"/>
    </xf>
    <xf numFmtId="0" fontId="19" fillId="5" borderId="4" xfId="0" applyFont="1" applyFill="1" applyBorder="1" applyAlignment="1">
      <alignment horizontal="center" vertical="center"/>
    </xf>
    <xf numFmtId="0" fontId="19" fillId="5" borderId="2" xfId="0" applyFont="1" applyFill="1" applyBorder="1" applyAlignment="1">
      <alignment horizontal="center" vertical="center"/>
    </xf>
    <xf numFmtId="164" fontId="18" fillId="5" borderId="22" xfId="0" applyNumberFormat="1" applyFont="1" applyFill="1" applyBorder="1" applyAlignment="1">
      <alignment horizontal="center" vertical="center"/>
    </xf>
    <xf numFmtId="164" fontId="18" fillId="5" borderId="19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E5E1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0</xdr:colOff>
      <xdr:row>96</xdr:row>
      <xdr:rowOff>0</xdr:rowOff>
    </xdr:from>
    <xdr:to>
      <xdr:col>35</xdr:col>
      <xdr:colOff>0</xdr:colOff>
      <xdr:row>96</xdr:row>
      <xdr:rowOff>0</xdr:rowOff>
    </xdr:to>
    <xdr:sp macro="" textlink="">
      <xdr:nvSpPr>
        <xdr:cNvPr id="1189" name="Rectangle 13"/>
        <xdr:cNvSpPr>
          <a:spLocks noChangeArrowheads="1"/>
        </xdr:cNvSpPr>
      </xdr:nvSpPr>
      <xdr:spPr bwMode="auto">
        <a:xfrm>
          <a:off x="24888825" y="3864292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99"/>
  <sheetViews>
    <sheetView tabSelected="1" topLeftCell="L44" zoomScale="75" zoomScaleNormal="75" workbookViewId="0">
      <selection activeCell="AI47" sqref="AI47"/>
    </sheetView>
  </sheetViews>
  <sheetFormatPr defaultColWidth="0" defaultRowHeight="20.25"/>
  <cols>
    <col min="1" max="1" width="10.7109375" style="8" customWidth="1"/>
    <col min="2" max="2" width="2.42578125" style="3" customWidth="1"/>
    <col min="3" max="3" width="8.5703125" style="17" customWidth="1"/>
    <col min="4" max="4" width="2.28515625" style="3" customWidth="1"/>
    <col min="5" max="6" width="15.28515625" style="3" customWidth="1"/>
    <col min="7" max="13" width="11.5703125" style="4" customWidth="1"/>
    <col min="14" max="26" width="11.5703125" style="1" customWidth="1"/>
    <col min="27" max="27" width="12.85546875" style="1" customWidth="1"/>
    <col min="28" max="28" width="11.5703125" style="1" customWidth="1"/>
    <col min="29" max="29" width="11.5703125" style="5" customWidth="1"/>
    <col min="30" max="30" width="13.140625" style="6" customWidth="1"/>
    <col min="31" max="31" width="12.28515625" style="1" customWidth="1"/>
    <col min="32" max="32" width="1.5703125" style="7" customWidth="1"/>
    <col min="33" max="33" width="8.7109375" style="5" customWidth="1"/>
    <col min="34" max="34" width="1.7109375" style="2" customWidth="1"/>
    <col min="35" max="35" width="13.85546875" style="10" bestFit="1" customWidth="1"/>
    <col min="36" max="16384" width="0" style="10" hidden="1"/>
  </cols>
  <sheetData>
    <row r="1" spans="1:35" ht="28.35" customHeight="1">
      <c r="S1" s="1" t="s">
        <v>0</v>
      </c>
    </row>
    <row r="2" spans="1:35" ht="28.35" customHeight="1">
      <c r="H2" s="38"/>
    </row>
    <row r="3" spans="1:35" s="18" customFormat="1" ht="28.35" customHeight="1">
      <c r="A3" s="25"/>
      <c r="B3" s="242" t="s">
        <v>43</v>
      </c>
      <c r="C3" s="242"/>
      <c r="D3" s="242"/>
      <c r="E3" s="242"/>
      <c r="F3" s="242"/>
      <c r="G3" s="242"/>
      <c r="H3" s="242"/>
      <c r="I3" s="242"/>
      <c r="J3" s="242"/>
      <c r="K3" s="242"/>
      <c r="L3" s="242"/>
      <c r="M3" s="242"/>
      <c r="N3" s="242"/>
      <c r="O3" s="242"/>
      <c r="P3" s="242"/>
      <c r="Q3" s="242"/>
      <c r="R3" s="242"/>
      <c r="S3" s="243" t="s">
        <v>41</v>
      </c>
      <c r="T3" s="243"/>
      <c r="U3" s="243"/>
      <c r="V3" s="243"/>
      <c r="W3" s="243"/>
      <c r="X3" s="243"/>
      <c r="Y3" s="243"/>
      <c r="Z3" s="243"/>
      <c r="AA3" s="243"/>
      <c r="AB3" s="243"/>
      <c r="AC3" s="243"/>
      <c r="AD3" s="243"/>
      <c r="AE3" s="243"/>
      <c r="AF3" s="243"/>
      <c r="AG3" s="243"/>
      <c r="AH3" s="243"/>
    </row>
    <row r="4" spans="1:35" s="19" customFormat="1" ht="28.35" customHeight="1">
      <c r="A4" s="26"/>
      <c r="B4" s="244" t="s">
        <v>42</v>
      </c>
      <c r="C4" s="244"/>
      <c r="D4" s="244"/>
      <c r="E4" s="244"/>
      <c r="F4" s="244"/>
      <c r="G4" s="244"/>
      <c r="H4" s="244"/>
      <c r="I4" s="244"/>
      <c r="J4" s="244"/>
      <c r="K4" s="244"/>
      <c r="L4" s="244"/>
      <c r="M4" s="244"/>
      <c r="N4" s="244"/>
      <c r="O4" s="244"/>
      <c r="P4" s="244"/>
      <c r="Q4" s="244"/>
      <c r="R4" s="244"/>
      <c r="S4" s="244" t="s">
        <v>40</v>
      </c>
      <c r="T4" s="244"/>
      <c r="U4" s="244"/>
      <c r="V4" s="244"/>
      <c r="W4" s="244"/>
      <c r="X4" s="244"/>
      <c r="Y4" s="244"/>
      <c r="Z4" s="244"/>
      <c r="AA4" s="244"/>
      <c r="AB4" s="244"/>
      <c r="AC4" s="244"/>
      <c r="AD4" s="244"/>
      <c r="AE4" s="244"/>
      <c r="AF4" s="244"/>
      <c r="AG4" s="244"/>
      <c r="AH4" s="244"/>
    </row>
    <row r="5" spans="1:35" s="20" customFormat="1" ht="17.100000000000001" customHeight="1">
      <c r="A5" s="27"/>
      <c r="B5" s="97" t="s">
        <v>30</v>
      </c>
      <c r="C5" s="98"/>
      <c r="D5" s="99"/>
      <c r="E5" s="99"/>
      <c r="F5" s="99"/>
      <c r="G5" s="46"/>
      <c r="H5" s="46"/>
      <c r="I5" s="100"/>
      <c r="J5" s="100"/>
      <c r="K5" s="101"/>
      <c r="L5" s="45"/>
      <c r="M5" s="100"/>
      <c r="N5" s="46"/>
      <c r="O5" s="41"/>
      <c r="P5" s="46"/>
      <c r="Q5" s="46"/>
      <c r="R5" s="41"/>
      <c r="S5" s="41"/>
      <c r="T5" s="41"/>
      <c r="U5" s="41"/>
      <c r="V5" s="41"/>
      <c r="W5" s="42"/>
      <c r="X5" s="43"/>
      <c r="Y5" s="44"/>
      <c r="Z5" s="45"/>
      <c r="AA5" s="41"/>
      <c r="AB5" s="41"/>
      <c r="AC5" s="46"/>
      <c r="AD5" s="47"/>
      <c r="AE5" s="41"/>
      <c r="AF5" s="48"/>
      <c r="AG5" s="49" t="s">
        <v>28</v>
      </c>
      <c r="AH5" s="41"/>
    </row>
    <row r="6" spans="1:35" ht="4.3499999999999996" customHeight="1">
      <c r="B6" s="50"/>
      <c r="C6" s="102"/>
      <c r="D6" s="50"/>
      <c r="E6" s="50"/>
      <c r="F6" s="50"/>
      <c r="G6" s="103"/>
      <c r="H6" s="103"/>
      <c r="I6" s="104"/>
      <c r="J6" s="104"/>
      <c r="K6" s="104"/>
      <c r="L6" s="104"/>
      <c r="M6" s="104"/>
      <c r="N6" s="103"/>
      <c r="O6" s="103"/>
      <c r="P6" s="103"/>
      <c r="Q6" s="103"/>
      <c r="R6" s="50"/>
      <c r="S6" s="50"/>
      <c r="T6" s="50"/>
      <c r="U6" s="50"/>
      <c r="V6" s="50"/>
      <c r="W6" s="50"/>
      <c r="X6" s="50"/>
      <c r="Y6" s="50"/>
      <c r="Z6" s="50"/>
      <c r="AA6" s="51"/>
      <c r="AB6" s="51"/>
      <c r="AC6" s="52"/>
      <c r="AD6" s="53"/>
      <c r="AE6" s="51"/>
      <c r="AF6" s="54"/>
      <c r="AG6" s="52"/>
      <c r="AH6" s="51"/>
    </row>
    <row r="7" spans="1:35" ht="41.25" customHeight="1">
      <c r="B7" s="245" t="s">
        <v>13</v>
      </c>
      <c r="C7" s="246"/>
      <c r="D7" s="247"/>
      <c r="E7" s="265" t="s">
        <v>38</v>
      </c>
      <c r="F7" s="265"/>
      <c r="G7" s="260" t="s">
        <v>39</v>
      </c>
      <c r="H7" s="262"/>
      <c r="I7" s="262"/>
      <c r="J7" s="262"/>
      <c r="K7" s="262"/>
      <c r="L7" s="262"/>
      <c r="M7" s="262"/>
      <c r="N7" s="262"/>
      <c r="O7" s="262"/>
      <c r="P7" s="262"/>
      <c r="Q7" s="262"/>
      <c r="R7" s="263"/>
      <c r="S7" s="259" t="s">
        <v>31</v>
      </c>
      <c r="T7" s="260"/>
      <c r="U7" s="260"/>
      <c r="V7" s="260"/>
      <c r="W7" s="260"/>
      <c r="X7" s="260"/>
      <c r="Y7" s="260"/>
      <c r="Z7" s="260"/>
      <c r="AA7" s="260"/>
      <c r="AB7" s="260"/>
      <c r="AC7" s="260"/>
      <c r="AD7" s="261"/>
      <c r="AE7" s="55"/>
      <c r="AF7" s="253" t="s">
        <v>12</v>
      </c>
      <c r="AG7" s="246"/>
      <c r="AH7" s="254"/>
    </row>
    <row r="8" spans="1:35" ht="28.5" customHeight="1">
      <c r="B8" s="248"/>
      <c r="C8" s="249"/>
      <c r="D8" s="240"/>
      <c r="E8" s="264" t="s">
        <v>37</v>
      </c>
      <c r="F8" s="264"/>
      <c r="G8" s="105" t="s">
        <v>24</v>
      </c>
      <c r="H8" s="106"/>
      <c r="I8" s="106"/>
      <c r="J8" s="106"/>
      <c r="K8" s="105" t="s">
        <v>1</v>
      </c>
      <c r="L8" s="106"/>
      <c r="M8" s="106"/>
      <c r="N8" s="107"/>
      <c r="O8" s="108" t="s">
        <v>25</v>
      </c>
      <c r="P8" s="108"/>
      <c r="Q8" s="108"/>
      <c r="R8" s="108"/>
      <c r="S8" s="56"/>
      <c r="T8" s="57" t="s">
        <v>2</v>
      </c>
      <c r="U8" s="58"/>
      <c r="V8" s="58"/>
      <c r="W8" s="235" t="s">
        <v>26</v>
      </c>
      <c r="X8" s="272"/>
      <c r="Y8" s="272"/>
      <c r="Z8" s="236"/>
      <c r="AA8" s="272" t="s">
        <v>27</v>
      </c>
      <c r="AB8" s="272"/>
      <c r="AC8" s="272"/>
      <c r="AD8" s="272"/>
      <c r="AE8" s="59" t="s">
        <v>3</v>
      </c>
      <c r="AF8" s="255"/>
      <c r="AG8" s="249"/>
      <c r="AH8" s="256"/>
      <c r="AI8" s="9"/>
    </row>
    <row r="9" spans="1:35" ht="29.25" customHeight="1">
      <c r="B9" s="248"/>
      <c r="C9" s="249"/>
      <c r="D9" s="240"/>
      <c r="E9" s="80" t="s">
        <v>33</v>
      </c>
      <c r="F9" s="80" t="s">
        <v>32</v>
      </c>
      <c r="G9" s="109" t="s">
        <v>4</v>
      </c>
      <c r="H9" s="110"/>
      <c r="I9" s="110"/>
      <c r="J9" s="110"/>
      <c r="K9" s="109" t="s">
        <v>5</v>
      </c>
      <c r="L9" s="110"/>
      <c r="M9" s="110"/>
      <c r="N9" s="111"/>
      <c r="O9" s="112" t="s">
        <v>6</v>
      </c>
      <c r="P9" s="112"/>
      <c r="Q9" s="112"/>
      <c r="R9" s="112"/>
      <c r="S9" s="60"/>
      <c r="T9" s="61" t="s">
        <v>7</v>
      </c>
      <c r="U9" s="62"/>
      <c r="V9" s="63"/>
      <c r="W9" s="255" t="s">
        <v>8</v>
      </c>
      <c r="X9" s="249"/>
      <c r="Y9" s="249"/>
      <c r="Z9" s="240"/>
      <c r="AA9" s="249" t="s">
        <v>9</v>
      </c>
      <c r="AB9" s="249"/>
      <c r="AC9" s="249"/>
      <c r="AD9" s="249"/>
      <c r="AE9" s="64" t="s">
        <v>10</v>
      </c>
      <c r="AF9" s="255"/>
      <c r="AG9" s="249"/>
      <c r="AH9" s="256"/>
      <c r="AI9" s="9"/>
    </row>
    <row r="10" spans="1:35" s="9" customFormat="1" ht="11.25" customHeight="1">
      <c r="A10" s="11"/>
      <c r="B10" s="248"/>
      <c r="C10" s="249"/>
      <c r="D10" s="240"/>
      <c r="E10" s="113"/>
      <c r="F10" s="113"/>
      <c r="G10" s="114"/>
      <c r="H10" s="72"/>
      <c r="I10" s="72"/>
      <c r="J10" s="72"/>
      <c r="K10" s="114"/>
      <c r="L10" s="72"/>
      <c r="M10" s="72"/>
      <c r="N10" s="71"/>
      <c r="O10" s="70"/>
      <c r="P10" s="70"/>
      <c r="Q10" s="70"/>
      <c r="R10" s="70"/>
      <c r="S10" s="65"/>
      <c r="T10" s="66"/>
      <c r="U10" s="67"/>
      <c r="V10" s="68"/>
      <c r="W10" s="69"/>
      <c r="X10" s="70"/>
      <c r="Y10" s="70"/>
      <c r="Z10" s="71"/>
      <c r="AA10" s="70"/>
      <c r="AB10" s="70"/>
      <c r="AC10" s="70"/>
      <c r="AD10" s="72"/>
      <c r="AE10" s="64"/>
      <c r="AF10" s="255"/>
      <c r="AG10" s="249"/>
      <c r="AH10" s="256"/>
    </row>
    <row r="11" spans="1:35" ht="24.75" customHeight="1">
      <c r="B11" s="223" t="s">
        <v>16</v>
      </c>
      <c r="C11" s="224"/>
      <c r="D11" s="225"/>
      <c r="E11" s="80"/>
      <c r="F11" s="80"/>
      <c r="G11" s="115"/>
      <c r="H11" s="115"/>
      <c r="I11" s="115"/>
      <c r="J11" s="74" t="s">
        <v>3</v>
      </c>
      <c r="K11" s="115"/>
      <c r="L11" s="115"/>
      <c r="M11" s="115"/>
      <c r="N11" s="74" t="s">
        <v>3</v>
      </c>
      <c r="O11" s="74"/>
      <c r="P11" s="74"/>
      <c r="Q11" s="74"/>
      <c r="R11" s="116" t="s">
        <v>3</v>
      </c>
      <c r="S11" s="73"/>
      <c r="T11" s="74"/>
      <c r="U11" s="74"/>
      <c r="V11" s="75"/>
      <c r="W11" s="76"/>
      <c r="X11" s="76"/>
      <c r="Y11" s="76"/>
      <c r="Z11" s="77" t="s">
        <v>3</v>
      </c>
      <c r="AA11" s="74" t="s">
        <v>3</v>
      </c>
      <c r="AB11" s="76"/>
      <c r="AC11" s="74"/>
      <c r="AD11" s="78" t="s">
        <v>3</v>
      </c>
      <c r="AE11" s="64" t="s">
        <v>11</v>
      </c>
      <c r="AF11" s="229" t="s">
        <v>15</v>
      </c>
      <c r="AG11" s="224"/>
      <c r="AH11" s="230"/>
      <c r="AI11" s="9"/>
    </row>
    <row r="12" spans="1:35" ht="25.5" customHeight="1">
      <c r="A12" s="10"/>
      <c r="B12" s="223"/>
      <c r="C12" s="224"/>
      <c r="D12" s="225"/>
      <c r="E12" s="80"/>
      <c r="F12" s="80"/>
      <c r="G12" s="81" t="s">
        <v>3</v>
      </c>
      <c r="H12" s="81" t="s">
        <v>3</v>
      </c>
      <c r="I12" s="81" t="s">
        <v>14</v>
      </c>
      <c r="J12" s="81"/>
      <c r="K12" s="81" t="s">
        <v>3</v>
      </c>
      <c r="L12" s="81" t="s">
        <v>3</v>
      </c>
      <c r="M12" s="81" t="s">
        <v>14</v>
      </c>
      <c r="N12" s="81"/>
      <c r="O12" s="80" t="s">
        <v>3</v>
      </c>
      <c r="P12" s="80" t="s">
        <v>3</v>
      </c>
      <c r="Q12" s="80" t="s">
        <v>14</v>
      </c>
      <c r="R12" s="117"/>
      <c r="S12" s="79" t="s">
        <v>3</v>
      </c>
      <c r="T12" s="80" t="s">
        <v>3</v>
      </c>
      <c r="U12" s="80" t="s">
        <v>14</v>
      </c>
      <c r="V12" s="81"/>
      <c r="W12" s="80" t="s">
        <v>3</v>
      </c>
      <c r="X12" s="80" t="s">
        <v>3</v>
      </c>
      <c r="Y12" s="80" t="s">
        <v>14</v>
      </c>
      <c r="Z12" s="81"/>
      <c r="AA12" s="80" t="s">
        <v>3</v>
      </c>
      <c r="AB12" s="80" t="s">
        <v>3</v>
      </c>
      <c r="AC12" s="80" t="s">
        <v>14</v>
      </c>
      <c r="AD12" s="78"/>
      <c r="AE12" s="80" t="s">
        <v>3</v>
      </c>
      <c r="AF12" s="229"/>
      <c r="AG12" s="224"/>
      <c r="AH12" s="230"/>
      <c r="AI12" s="9"/>
    </row>
    <row r="13" spans="1:35" ht="20.45" customHeight="1">
      <c r="A13" s="10"/>
      <c r="B13" s="223"/>
      <c r="C13" s="224"/>
      <c r="D13" s="225"/>
      <c r="E13" s="80" t="s">
        <v>35</v>
      </c>
      <c r="F13" s="118"/>
      <c r="G13" s="80" t="s">
        <v>45</v>
      </c>
      <c r="H13" s="81" t="s">
        <v>17</v>
      </c>
      <c r="I13" s="81" t="s">
        <v>18</v>
      </c>
      <c r="J13" s="81" t="s">
        <v>10</v>
      </c>
      <c r="K13" s="80" t="s">
        <v>45</v>
      </c>
      <c r="L13" s="81" t="s">
        <v>17</v>
      </c>
      <c r="M13" s="81" t="s">
        <v>18</v>
      </c>
      <c r="N13" s="81" t="s">
        <v>10</v>
      </c>
      <c r="O13" s="80" t="s">
        <v>45</v>
      </c>
      <c r="P13" s="80" t="s">
        <v>17</v>
      </c>
      <c r="Q13" s="80" t="s">
        <v>18</v>
      </c>
      <c r="R13" s="117" t="s">
        <v>10</v>
      </c>
      <c r="S13" s="80" t="s">
        <v>45</v>
      </c>
      <c r="T13" s="80" t="s">
        <v>17</v>
      </c>
      <c r="U13" s="80" t="s">
        <v>18</v>
      </c>
      <c r="V13" s="81" t="s">
        <v>10</v>
      </c>
      <c r="W13" s="80" t="s">
        <v>45</v>
      </c>
      <c r="X13" s="80" t="s">
        <v>17</v>
      </c>
      <c r="Y13" s="80" t="s">
        <v>18</v>
      </c>
      <c r="Z13" s="81" t="s">
        <v>10</v>
      </c>
      <c r="AA13" s="80" t="s">
        <v>45</v>
      </c>
      <c r="AB13" s="80" t="s">
        <v>17</v>
      </c>
      <c r="AC13" s="80" t="s">
        <v>18</v>
      </c>
      <c r="AD13" s="78" t="s">
        <v>10</v>
      </c>
      <c r="AE13" s="64" t="s">
        <v>19</v>
      </c>
      <c r="AF13" s="229"/>
      <c r="AG13" s="224"/>
      <c r="AH13" s="230"/>
      <c r="AI13" s="9"/>
    </row>
    <row r="14" spans="1:35" ht="20.45" customHeight="1">
      <c r="A14" s="10"/>
      <c r="B14" s="226"/>
      <c r="C14" s="227"/>
      <c r="D14" s="228"/>
      <c r="E14" s="119" t="s">
        <v>34</v>
      </c>
      <c r="F14" s="119" t="s">
        <v>36</v>
      </c>
      <c r="G14" s="83" t="s">
        <v>20</v>
      </c>
      <c r="H14" s="83" t="s">
        <v>21</v>
      </c>
      <c r="I14" s="83" t="s">
        <v>22</v>
      </c>
      <c r="J14" s="83" t="s">
        <v>23</v>
      </c>
      <c r="K14" s="83" t="s">
        <v>20</v>
      </c>
      <c r="L14" s="83" t="s">
        <v>21</v>
      </c>
      <c r="M14" s="83" t="s">
        <v>22</v>
      </c>
      <c r="N14" s="83" t="s">
        <v>23</v>
      </c>
      <c r="O14" s="83" t="s">
        <v>20</v>
      </c>
      <c r="P14" s="83" t="s">
        <v>21</v>
      </c>
      <c r="Q14" s="83" t="s">
        <v>22</v>
      </c>
      <c r="R14" s="120" t="s">
        <v>23</v>
      </c>
      <c r="S14" s="82" t="s">
        <v>20</v>
      </c>
      <c r="T14" s="83" t="s">
        <v>21</v>
      </c>
      <c r="U14" s="83" t="s">
        <v>22</v>
      </c>
      <c r="V14" s="83" t="s">
        <v>23</v>
      </c>
      <c r="W14" s="83" t="s">
        <v>20</v>
      </c>
      <c r="X14" s="83" t="s">
        <v>21</v>
      </c>
      <c r="Y14" s="83" t="s">
        <v>22</v>
      </c>
      <c r="Z14" s="83" t="s">
        <v>23</v>
      </c>
      <c r="AA14" s="83" t="s">
        <v>20</v>
      </c>
      <c r="AB14" s="83" t="s">
        <v>21</v>
      </c>
      <c r="AC14" s="83" t="s">
        <v>22</v>
      </c>
      <c r="AD14" s="84" t="s">
        <v>23</v>
      </c>
      <c r="AE14" s="85" t="s">
        <v>23</v>
      </c>
      <c r="AF14" s="231"/>
      <c r="AG14" s="227"/>
      <c r="AH14" s="232"/>
      <c r="AI14" s="9"/>
    </row>
    <row r="15" spans="1:35" ht="39.75" customHeight="1">
      <c r="B15" s="270">
        <v>1964</v>
      </c>
      <c r="C15" s="266"/>
      <c r="D15" s="266"/>
      <c r="E15" s="121" t="s">
        <v>44</v>
      </c>
      <c r="F15" s="88" t="s">
        <v>44</v>
      </c>
      <c r="G15" s="87">
        <v>0.7</v>
      </c>
      <c r="H15" s="87">
        <v>0</v>
      </c>
      <c r="I15" s="87">
        <v>0.9</v>
      </c>
      <c r="J15" s="87">
        <f t="shared" ref="J15:J43" si="0">SUM(I15+H15+G15)</f>
        <v>1.6</v>
      </c>
      <c r="K15" s="87">
        <v>10.8</v>
      </c>
      <c r="L15" s="87">
        <v>0</v>
      </c>
      <c r="M15" s="87">
        <v>3</v>
      </c>
      <c r="N15" s="86">
        <f t="shared" ref="N15:N24" si="1">SUM(M15+L15+K15)</f>
        <v>13.8</v>
      </c>
      <c r="O15" s="87">
        <v>0.4</v>
      </c>
      <c r="P15" s="87">
        <v>0</v>
      </c>
      <c r="Q15" s="87">
        <v>2.2999999999999998</v>
      </c>
      <c r="R15" s="86">
        <f>SUM(O15:Q15)</f>
        <v>2.6999999999999997</v>
      </c>
      <c r="S15" s="86">
        <v>0</v>
      </c>
      <c r="T15" s="86">
        <v>0</v>
      </c>
      <c r="U15" s="86">
        <v>0.4</v>
      </c>
      <c r="V15" s="86">
        <f t="shared" ref="V15:V43" si="2">SUM(S15:U15)</f>
        <v>0.4</v>
      </c>
      <c r="W15" s="87">
        <v>0.5</v>
      </c>
      <c r="X15" s="87">
        <v>0</v>
      </c>
      <c r="Y15" s="87">
        <v>1.5</v>
      </c>
      <c r="Z15" s="86">
        <f t="shared" ref="Z15:Z43" si="3">SUM(W15:Y15)</f>
        <v>2</v>
      </c>
      <c r="AA15" s="86">
        <v>10.199999999999999</v>
      </c>
      <c r="AB15" s="86">
        <v>3.1</v>
      </c>
      <c r="AC15" s="86">
        <v>14.9</v>
      </c>
      <c r="AD15" s="86">
        <f t="shared" ref="AD15:AD42" si="4">SUM(AA15:AC15)</f>
        <v>28.2</v>
      </c>
      <c r="AE15" s="88">
        <f t="shared" ref="AE15:AE43" si="5">SUM(AD15+Z15+V15+R15+N15+J15)</f>
        <v>48.699999999999996</v>
      </c>
      <c r="AF15" s="266">
        <v>1964</v>
      </c>
      <c r="AG15" s="266"/>
      <c r="AH15" s="267"/>
    </row>
    <row r="16" spans="1:35" ht="39.75" customHeight="1">
      <c r="B16" s="271">
        <v>1965</v>
      </c>
      <c r="C16" s="268"/>
      <c r="D16" s="268"/>
      <c r="E16" s="122" t="s">
        <v>44</v>
      </c>
      <c r="F16" s="91" t="s">
        <v>44</v>
      </c>
      <c r="G16" s="90">
        <v>1.3</v>
      </c>
      <c r="H16" s="90">
        <v>0</v>
      </c>
      <c r="I16" s="90">
        <v>0.7</v>
      </c>
      <c r="J16" s="123">
        <f t="shared" si="0"/>
        <v>2</v>
      </c>
      <c r="K16" s="90">
        <v>0.1</v>
      </c>
      <c r="L16" s="90">
        <v>0</v>
      </c>
      <c r="M16" s="90">
        <v>1.3</v>
      </c>
      <c r="N16" s="89">
        <f t="shared" si="1"/>
        <v>1.4000000000000001</v>
      </c>
      <c r="O16" s="90">
        <v>1.3</v>
      </c>
      <c r="P16" s="90">
        <v>0</v>
      </c>
      <c r="Q16" s="90">
        <v>1.7</v>
      </c>
      <c r="R16" s="89">
        <f t="shared" ref="R16:R43" si="6">SUM(O16:Q16)</f>
        <v>3</v>
      </c>
      <c r="S16" s="89">
        <v>0.1</v>
      </c>
      <c r="T16" s="89">
        <v>0</v>
      </c>
      <c r="U16" s="89">
        <v>0.4</v>
      </c>
      <c r="V16" s="89">
        <f t="shared" si="2"/>
        <v>0.5</v>
      </c>
      <c r="W16" s="90">
        <v>0.5</v>
      </c>
      <c r="X16" s="90">
        <v>0</v>
      </c>
      <c r="Y16" s="90">
        <v>1</v>
      </c>
      <c r="Z16" s="89">
        <f t="shared" si="3"/>
        <v>1.5</v>
      </c>
      <c r="AA16" s="89">
        <v>12.5</v>
      </c>
      <c r="AB16" s="89">
        <v>3.9</v>
      </c>
      <c r="AC16" s="89">
        <v>19.3</v>
      </c>
      <c r="AD16" s="89">
        <f t="shared" si="4"/>
        <v>35.700000000000003</v>
      </c>
      <c r="AE16" s="91">
        <f t="shared" si="5"/>
        <v>44.1</v>
      </c>
      <c r="AF16" s="268">
        <v>1965</v>
      </c>
      <c r="AG16" s="268"/>
      <c r="AH16" s="269"/>
    </row>
    <row r="17" spans="2:34" ht="39.75" customHeight="1">
      <c r="B17" s="270">
        <v>1966</v>
      </c>
      <c r="C17" s="266"/>
      <c r="D17" s="266"/>
      <c r="E17" s="121" t="s">
        <v>44</v>
      </c>
      <c r="F17" s="88" t="s">
        <v>44</v>
      </c>
      <c r="G17" s="87">
        <v>1.1000000000000001</v>
      </c>
      <c r="H17" s="87">
        <v>0</v>
      </c>
      <c r="I17" s="87">
        <v>1.1000000000000001</v>
      </c>
      <c r="J17" s="87">
        <f t="shared" si="0"/>
        <v>2.2000000000000002</v>
      </c>
      <c r="K17" s="87">
        <v>0.2</v>
      </c>
      <c r="L17" s="87">
        <v>0</v>
      </c>
      <c r="M17" s="87">
        <v>2.6</v>
      </c>
      <c r="N17" s="86">
        <f t="shared" si="1"/>
        <v>2.8000000000000003</v>
      </c>
      <c r="O17" s="87">
        <v>0.8</v>
      </c>
      <c r="P17" s="87">
        <v>0</v>
      </c>
      <c r="Q17" s="87">
        <v>1.6</v>
      </c>
      <c r="R17" s="86">
        <f t="shared" si="6"/>
        <v>2.4000000000000004</v>
      </c>
      <c r="S17" s="86">
        <v>0.1</v>
      </c>
      <c r="T17" s="86">
        <v>0</v>
      </c>
      <c r="U17" s="86">
        <v>0.4</v>
      </c>
      <c r="V17" s="86">
        <f t="shared" si="2"/>
        <v>0.5</v>
      </c>
      <c r="W17" s="87">
        <v>0.1</v>
      </c>
      <c r="X17" s="87">
        <v>0</v>
      </c>
      <c r="Y17" s="87">
        <v>0.4</v>
      </c>
      <c r="Z17" s="86">
        <f t="shared" si="3"/>
        <v>0.5</v>
      </c>
      <c r="AA17" s="86">
        <v>15.4</v>
      </c>
      <c r="AB17" s="86">
        <v>4.0999999999999996</v>
      </c>
      <c r="AC17" s="86">
        <v>24.9</v>
      </c>
      <c r="AD17" s="86">
        <f t="shared" si="4"/>
        <v>44.4</v>
      </c>
      <c r="AE17" s="88">
        <f t="shared" si="5"/>
        <v>52.8</v>
      </c>
      <c r="AF17" s="266">
        <v>1966</v>
      </c>
      <c r="AG17" s="266"/>
      <c r="AH17" s="267"/>
    </row>
    <row r="18" spans="2:34" ht="39.75" customHeight="1">
      <c r="B18" s="271">
        <v>1967</v>
      </c>
      <c r="C18" s="268"/>
      <c r="D18" s="268"/>
      <c r="E18" s="122" t="s">
        <v>44</v>
      </c>
      <c r="F18" s="91" t="s">
        <v>44</v>
      </c>
      <c r="G18" s="90">
        <v>0.5</v>
      </c>
      <c r="H18" s="90">
        <v>0</v>
      </c>
      <c r="I18" s="90">
        <v>1.6</v>
      </c>
      <c r="J18" s="123">
        <f t="shared" si="0"/>
        <v>2.1</v>
      </c>
      <c r="K18" s="90">
        <v>1.2</v>
      </c>
      <c r="L18" s="90">
        <v>0</v>
      </c>
      <c r="M18" s="90">
        <v>5.2</v>
      </c>
      <c r="N18" s="89">
        <f t="shared" si="1"/>
        <v>6.4</v>
      </c>
      <c r="O18" s="90">
        <v>1.4</v>
      </c>
      <c r="P18" s="90">
        <v>0</v>
      </c>
      <c r="Q18" s="90">
        <v>1.1000000000000001</v>
      </c>
      <c r="R18" s="89">
        <f t="shared" si="6"/>
        <v>2.5</v>
      </c>
      <c r="S18" s="89">
        <v>0.2</v>
      </c>
      <c r="T18" s="89">
        <v>0</v>
      </c>
      <c r="U18" s="89">
        <v>0.5</v>
      </c>
      <c r="V18" s="89">
        <f t="shared" si="2"/>
        <v>0.7</v>
      </c>
      <c r="W18" s="90">
        <v>0.3</v>
      </c>
      <c r="X18" s="90">
        <v>0</v>
      </c>
      <c r="Y18" s="90">
        <v>0.8</v>
      </c>
      <c r="Z18" s="89">
        <f t="shared" si="3"/>
        <v>1.1000000000000001</v>
      </c>
      <c r="AA18" s="89">
        <v>14.6</v>
      </c>
      <c r="AB18" s="89">
        <v>3.6</v>
      </c>
      <c r="AC18" s="89">
        <v>22.4</v>
      </c>
      <c r="AD18" s="89">
        <f t="shared" si="4"/>
        <v>40.599999999999994</v>
      </c>
      <c r="AE18" s="91">
        <f t="shared" si="5"/>
        <v>53.4</v>
      </c>
      <c r="AF18" s="268">
        <v>1967</v>
      </c>
      <c r="AG18" s="268"/>
      <c r="AH18" s="269"/>
    </row>
    <row r="19" spans="2:34" ht="39.75" customHeight="1">
      <c r="B19" s="270">
        <v>1968</v>
      </c>
      <c r="C19" s="266"/>
      <c r="D19" s="266"/>
      <c r="E19" s="121" t="s">
        <v>44</v>
      </c>
      <c r="F19" s="88" t="s">
        <v>44</v>
      </c>
      <c r="G19" s="87">
        <v>0.4</v>
      </c>
      <c r="H19" s="87">
        <v>0</v>
      </c>
      <c r="I19" s="87">
        <v>1.5</v>
      </c>
      <c r="J19" s="87">
        <f t="shared" si="0"/>
        <v>1.9</v>
      </c>
      <c r="K19" s="87">
        <v>1.5</v>
      </c>
      <c r="L19" s="87">
        <v>0</v>
      </c>
      <c r="M19" s="87">
        <v>3.9</v>
      </c>
      <c r="N19" s="86">
        <f t="shared" si="1"/>
        <v>5.4</v>
      </c>
      <c r="O19" s="87">
        <v>1</v>
      </c>
      <c r="P19" s="87">
        <v>0</v>
      </c>
      <c r="Q19" s="87">
        <v>1</v>
      </c>
      <c r="R19" s="86">
        <f t="shared" si="6"/>
        <v>2</v>
      </c>
      <c r="S19" s="86">
        <v>0.3</v>
      </c>
      <c r="T19" s="86">
        <v>0</v>
      </c>
      <c r="U19" s="86">
        <v>0.6</v>
      </c>
      <c r="V19" s="86">
        <f t="shared" si="2"/>
        <v>0.89999999999999991</v>
      </c>
      <c r="W19" s="87">
        <v>0</v>
      </c>
      <c r="X19" s="87">
        <v>0</v>
      </c>
      <c r="Y19" s="87">
        <v>1.1000000000000001</v>
      </c>
      <c r="Z19" s="86">
        <f t="shared" si="3"/>
        <v>1.1000000000000001</v>
      </c>
      <c r="AA19" s="86">
        <v>16.3</v>
      </c>
      <c r="AB19" s="86">
        <v>3.9</v>
      </c>
      <c r="AC19" s="86">
        <v>22.7</v>
      </c>
      <c r="AD19" s="86">
        <f t="shared" si="4"/>
        <v>42.9</v>
      </c>
      <c r="AE19" s="88">
        <f t="shared" si="5"/>
        <v>54.199999999999996</v>
      </c>
      <c r="AF19" s="266">
        <v>1968</v>
      </c>
      <c r="AG19" s="266"/>
      <c r="AH19" s="267"/>
    </row>
    <row r="20" spans="2:34" ht="39.75" customHeight="1">
      <c r="B20" s="271">
        <v>1969</v>
      </c>
      <c r="C20" s="268"/>
      <c r="D20" s="268"/>
      <c r="E20" s="122" t="s">
        <v>44</v>
      </c>
      <c r="F20" s="91" t="s">
        <v>44</v>
      </c>
      <c r="G20" s="90">
        <v>0.9</v>
      </c>
      <c r="H20" s="90">
        <v>0</v>
      </c>
      <c r="I20" s="90">
        <v>1.6</v>
      </c>
      <c r="J20" s="123">
        <f t="shared" si="0"/>
        <v>2.5</v>
      </c>
      <c r="K20" s="90">
        <v>1.2</v>
      </c>
      <c r="L20" s="90">
        <v>0</v>
      </c>
      <c r="M20" s="90">
        <v>4.9000000000000004</v>
      </c>
      <c r="N20" s="89">
        <f t="shared" si="1"/>
        <v>6.1000000000000005</v>
      </c>
      <c r="O20" s="90">
        <v>0.4</v>
      </c>
      <c r="P20" s="90">
        <v>0</v>
      </c>
      <c r="Q20" s="90">
        <v>1</v>
      </c>
      <c r="R20" s="89">
        <f t="shared" si="6"/>
        <v>1.4</v>
      </c>
      <c r="S20" s="89">
        <v>0.3</v>
      </c>
      <c r="T20" s="89">
        <v>0</v>
      </c>
      <c r="U20" s="89">
        <v>0.4</v>
      </c>
      <c r="V20" s="89">
        <f t="shared" si="2"/>
        <v>0.7</v>
      </c>
      <c r="W20" s="90">
        <v>0.1</v>
      </c>
      <c r="X20" s="90">
        <v>0</v>
      </c>
      <c r="Y20" s="90">
        <v>1.3</v>
      </c>
      <c r="Z20" s="89">
        <f t="shared" si="3"/>
        <v>1.4000000000000001</v>
      </c>
      <c r="AA20" s="89">
        <v>17.3</v>
      </c>
      <c r="AB20" s="89">
        <v>4.8</v>
      </c>
      <c r="AC20" s="89">
        <v>23.2</v>
      </c>
      <c r="AD20" s="89">
        <f t="shared" si="4"/>
        <v>45.3</v>
      </c>
      <c r="AE20" s="91">
        <f t="shared" si="5"/>
        <v>57.4</v>
      </c>
      <c r="AF20" s="268">
        <v>1969</v>
      </c>
      <c r="AG20" s="268"/>
      <c r="AH20" s="269"/>
    </row>
    <row r="21" spans="2:34" ht="39.75" customHeight="1">
      <c r="B21" s="270">
        <v>1970</v>
      </c>
      <c r="C21" s="266"/>
      <c r="D21" s="266"/>
      <c r="E21" s="121" t="s">
        <v>44</v>
      </c>
      <c r="F21" s="88" t="s">
        <v>44</v>
      </c>
      <c r="G21" s="87">
        <v>0.8</v>
      </c>
      <c r="H21" s="87">
        <v>0</v>
      </c>
      <c r="I21" s="87">
        <v>1.7</v>
      </c>
      <c r="J21" s="87">
        <f t="shared" si="0"/>
        <v>2.5</v>
      </c>
      <c r="K21" s="87">
        <v>2.4</v>
      </c>
      <c r="L21" s="87">
        <v>0</v>
      </c>
      <c r="M21" s="87">
        <v>4.7</v>
      </c>
      <c r="N21" s="86">
        <f t="shared" si="1"/>
        <v>7.1</v>
      </c>
      <c r="O21" s="87">
        <v>0.3</v>
      </c>
      <c r="P21" s="87">
        <v>0</v>
      </c>
      <c r="Q21" s="87">
        <v>1.4</v>
      </c>
      <c r="R21" s="86">
        <f t="shared" si="6"/>
        <v>1.7</v>
      </c>
      <c r="S21" s="86">
        <v>0.1</v>
      </c>
      <c r="T21" s="86">
        <v>0</v>
      </c>
      <c r="U21" s="86">
        <v>0.8</v>
      </c>
      <c r="V21" s="86">
        <f t="shared" si="2"/>
        <v>0.9</v>
      </c>
      <c r="W21" s="87">
        <v>0.6</v>
      </c>
      <c r="X21" s="87">
        <v>0</v>
      </c>
      <c r="Y21" s="87">
        <v>1.5</v>
      </c>
      <c r="Z21" s="86">
        <f t="shared" si="3"/>
        <v>2.1</v>
      </c>
      <c r="AA21" s="86">
        <v>16.8</v>
      </c>
      <c r="AB21" s="86">
        <v>5.8</v>
      </c>
      <c r="AC21" s="86">
        <v>20.8</v>
      </c>
      <c r="AD21" s="86">
        <f t="shared" si="4"/>
        <v>43.400000000000006</v>
      </c>
      <c r="AE21" s="88">
        <f t="shared" si="5"/>
        <v>57.70000000000001</v>
      </c>
      <c r="AF21" s="266">
        <v>1970</v>
      </c>
      <c r="AG21" s="266"/>
      <c r="AH21" s="267"/>
    </row>
    <row r="22" spans="2:34" ht="39.75" customHeight="1">
      <c r="B22" s="271">
        <v>1971</v>
      </c>
      <c r="C22" s="268"/>
      <c r="D22" s="268"/>
      <c r="E22" s="122" t="s">
        <v>44</v>
      </c>
      <c r="F22" s="91" t="s">
        <v>44</v>
      </c>
      <c r="G22" s="90">
        <v>0.7</v>
      </c>
      <c r="H22" s="90">
        <v>0</v>
      </c>
      <c r="I22" s="90">
        <v>1.4</v>
      </c>
      <c r="J22" s="123">
        <f t="shared" si="0"/>
        <v>2.0999999999999996</v>
      </c>
      <c r="K22" s="90">
        <v>1.5</v>
      </c>
      <c r="L22" s="90">
        <v>0</v>
      </c>
      <c r="M22" s="90">
        <v>2.9</v>
      </c>
      <c r="N22" s="89">
        <f t="shared" si="1"/>
        <v>4.4000000000000004</v>
      </c>
      <c r="O22" s="90">
        <v>0.5</v>
      </c>
      <c r="P22" s="90">
        <v>0</v>
      </c>
      <c r="Q22" s="90">
        <v>1.2</v>
      </c>
      <c r="R22" s="89">
        <f t="shared" si="6"/>
        <v>1.7</v>
      </c>
      <c r="S22" s="89">
        <v>0.1</v>
      </c>
      <c r="T22" s="89">
        <v>0</v>
      </c>
      <c r="U22" s="89">
        <v>0.5</v>
      </c>
      <c r="V22" s="89">
        <f t="shared" si="2"/>
        <v>0.6</v>
      </c>
      <c r="W22" s="90">
        <v>0.5</v>
      </c>
      <c r="X22" s="90">
        <v>0</v>
      </c>
      <c r="Y22" s="90">
        <v>1.6</v>
      </c>
      <c r="Z22" s="89">
        <f t="shared" si="3"/>
        <v>2.1</v>
      </c>
      <c r="AA22" s="89">
        <v>18.600000000000001</v>
      </c>
      <c r="AB22" s="89">
        <v>7.3</v>
      </c>
      <c r="AC22" s="89">
        <v>22.9</v>
      </c>
      <c r="AD22" s="89">
        <f t="shared" si="4"/>
        <v>48.8</v>
      </c>
      <c r="AE22" s="91">
        <f t="shared" si="5"/>
        <v>59.7</v>
      </c>
      <c r="AF22" s="268">
        <v>1971</v>
      </c>
      <c r="AG22" s="268"/>
      <c r="AH22" s="269"/>
    </row>
    <row r="23" spans="2:34" ht="39.75" customHeight="1">
      <c r="B23" s="270">
        <v>1972</v>
      </c>
      <c r="C23" s="266"/>
      <c r="D23" s="266"/>
      <c r="E23" s="121" t="s">
        <v>44</v>
      </c>
      <c r="F23" s="88" t="s">
        <v>44</v>
      </c>
      <c r="G23" s="87">
        <v>0.7</v>
      </c>
      <c r="H23" s="87">
        <v>0</v>
      </c>
      <c r="I23" s="87">
        <v>1.3</v>
      </c>
      <c r="J23" s="87">
        <f t="shared" si="0"/>
        <v>2</v>
      </c>
      <c r="K23" s="87">
        <v>1.1000000000000001</v>
      </c>
      <c r="L23" s="87">
        <v>0</v>
      </c>
      <c r="M23" s="87">
        <v>3.7</v>
      </c>
      <c r="N23" s="86">
        <f t="shared" si="1"/>
        <v>4.8000000000000007</v>
      </c>
      <c r="O23" s="87">
        <v>0.5</v>
      </c>
      <c r="P23" s="87">
        <v>0</v>
      </c>
      <c r="Q23" s="87">
        <v>0.9</v>
      </c>
      <c r="R23" s="86">
        <f t="shared" si="6"/>
        <v>1.4</v>
      </c>
      <c r="S23" s="86">
        <v>0.1</v>
      </c>
      <c r="T23" s="86">
        <v>0</v>
      </c>
      <c r="U23" s="86">
        <v>0.5</v>
      </c>
      <c r="V23" s="86">
        <f t="shared" si="2"/>
        <v>0.6</v>
      </c>
      <c r="W23" s="87">
        <v>0.74</v>
      </c>
      <c r="X23" s="87">
        <v>0</v>
      </c>
      <c r="Y23" s="87">
        <v>2.1</v>
      </c>
      <c r="Z23" s="86">
        <f t="shared" si="3"/>
        <v>2.84</v>
      </c>
      <c r="AA23" s="86">
        <v>20.8</v>
      </c>
      <c r="AB23" s="86">
        <v>9.5</v>
      </c>
      <c r="AC23" s="86">
        <v>31</v>
      </c>
      <c r="AD23" s="86">
        <f t="shared" si="4"/>
        <v>61.3</v>
      </c>
      <c r="AE23" s="88">
        <f t="shared" si="5"/>
        <v>72.94</v>
      </c>
      <c r="AF23" s="266">
        <v>1972</v>
      </c>
      <c r="AG23" s="266"/>
      <c r="AH23" s="267"/>
    </row>
    <row r="24" spans="2:34" ht="39.75" customHeight="1">
      <c r="B24" s="271">
        <v>1973</v>
      </c>
      <c r="C24" s="268"/>
      <c r="D24" s="268"/>
      <c r="E24" s="122" t="s">
        <v>44</v>
      </c>
      <c r="F24" s="91" t="s">
        <v>44</v>
      </c>
      <c r="G24" s="90">
        <v>0.7</v>
      </c>
      <c r="H24" s="90">
        <v>0</v>
      </c>
      <c r="I24" s="90">
        <v>1.4</v>
      </c>
      <c r="J24" s="123">
        <f t="shared" si="0"/>
        <v>2.0999999999999996</v>
      </c>
      <c r="K24" s="90">
        <v>0.8</v>
      </c>
      <c r="L24" s="90">
        <v>0</v>
      </c>
      <c r="M24" s="90">
        <v>4.3</v>
      </c>
      <c r="N24" s="89">
        <f t="shared" si="1"/>
        <v>5.0999999999999996</v>
      </c>
      <c r="O24" s="90">
        <v>0.2</v>
      </c>
      <c r="P24" s="90">
        <v>0</v>
      </c>
      <c r="Q24" s="90">
        <v>0.9</v>
      </c>
      <c r="R24" s="89">
        <f t="shared" si="6"/>
        <v>1.1000000000000001</v>
      </c>
      <c r="S24" s="89">
        <v>0.1</v>
      </c>
      <c r="T24" s="89">
        <v>0</v>
      </c>
      <c r="U24" s="89">
        <v>0.6</v>
      </c>
      <c r="V24" s="89">
        <f t="shared" si="2"/>
        <v>0.7</v>
      </c>
      <c r="W24" s="90">
        <v>0.9</v>
      </c>
      <c r="X24" s="90">
        <v>0</v>
      </c>
      <c r="Y24" s="90">
        <v>2.6</v>
      </c>
      <c r="Z24" s="89">
        <f t="shared" si="3"/>
        <v>3.5</v>
      </c>
      <c r="AA24" s="89">
        <v>23.2</v>
      </c>
      <c r="AB24" s="89">
        <v>12.4</v>
      </c>
      <c r="AC24" s="89">
        <v>37.700000000000003</v>
      </c>
      <c r="AD24" s="89">
        <f t="shared" si="4"/>
        <v>73.300000000000011</v>
      </c>
      <c r="AE24" s="91">
        <f t="shared" si="5"/>
        <v>85.8</v>
      </c>
      <c r="AF24" s="268">
        <v>1973</v>
      </c>
      <c r="AG24" s="268"/>
      <c r="AH24" s="269"/>
    </row>
    <row r="25" spans="2:34" ht="39.75" customHeight="1">
      <c r="B25" s="270">
        <v>1974</v>
      </c>
      <c r="C25" s="266"/>
      <c r="D25" s="266"/>
      <c r="E25" s="121" t="s">
        <v>44</v>
      </c>
      <c r="F25" s="88" t="s">
        <v>44</v>
      </c>
      <c r="G25" s="87">
        <v>1.8</v>
      </c>
      <c r="H25" s="87">
        <v>0</v>
      </c>
      <c r="I25" s="87">
        <v>1.8</v>
      </c>
      <c r="J25" s="87">
        <f t="shared" si="0"/>
        <v>3.6</v>
      </c>
      <c r="K25" s="87">
        <v>0.8</v>
      </c>
      <c r="L25" s="87">
        <v>0</v>
      </c>
      <c r="M25" s="87">
        <v>5.9</v>
      </c>
      <c r="N25" s="86">
        <f t="shared" ref="N25:N43" si="7">SUM(M25+L25+K25)</f>
        <v>6.7</v>
      </c>
      <c r="O25" s="87">
        <v>0.4</v>
      </c>
      <c r="P25" s="87">
        <v>0</v>
      </c>
      <c r="Q25" s="87">
        <v>1.3</v>
      </c>
      <c r="R25" s="86">
        <f t="shared" si="6"/>
        <v>1.7000000000000002</v>
      </c>
      <c r="S25" s="86">
        <v>0.1</v>
      </c>
      <c r="T25" s="86">
        <v>0</v>
      </c>
      <c r="U25" s="86">
        <v>0.6</v>
      </c>
      <c r="V25" s="86">
        <f t="shared" si="2"/>
        <v>0.7</v>
      </c>
      <c r="W25" s="87">
        <v>0.9</v>
      </c>
      <c r="X25" s="87">
        <v>0</v>
      </c>
      <c r="Y25" s="87">
        <v>2.8</v>
      </c>
      <c r="Z25" s="86">
        <f t="shared" si="3"/>
        <v>3.6999999999999997</v>
      </c>
      <c r="AA25" s="86">
        <v>30</v>
      </c>
      <c r="AB25" s="86">
        <v>16.3</v>
      </c>
      <c r="AC25" s="86">
        <v>52.4</v>
      </c>
      <c r="AD25" s="86">
        <f t="shared" si="4"/>
        <v>98.699999999999989</v>
      </c>
      <c r="AE25" s="88">
        <f t="shared" si="5"/>
        <v>115.1</v>
      </c>
      <c r="AF25" s="266">
        <v>1974</v>
      </c>
      <c r="AG25" s="266"/>
      <c r="AH25" s="267"/>
    </row>
    <row r="26" spans="2:34" ht="39.75" customHeight="1">
      <c r="B26" s="271">
        <v>1975</v>
      </c>
      <c r="C26" s="268"/>
      <c r="D26" s="268"/>
      <c r="E26" s="122" t="s">
        <v>44</v>
      </c>
      <c r="F26" s="91" t="s">
        <v>44</v>
      </c>
      <c r="G26" s="90">
        <v>3.4</v>
      </c>
      <c r="H26" s="90">
        <v>0.1</v>
      </c>
      <c r="I26" s="90">
        <v>5.0999999999999996</v>
      </c>
      <c r="J26" s="123">
        <f t="shared" si="0"/>
        <v>8.6</v>
      </c>
      <c r="K26" s="90">
        <v>0.7</v>
      </c>
      <c r="L26" s="90">
        <v>0</v>
      </c>
      <c r="M26" s="90">
        <v>5.0999999999999996</v>
      </c>
      <c r="N26" s="89">
        <f t="shared" si="7"/>
        <v>5.8</v>
      </c>
      <c r="O26" s="90">
        <v>2.2000000000000002</v>
      </c>
      <c r="P26" s="90">
        <v>0</v>
      </c>
      <c r="Q26" s="90">
        <v>4</v>
      </c>
      <c r="R26" s="89">
        <f t="shared" si="6"/>
        <v>6.2</v>
      </c>
      <c r="S26" s="89">
        <v>0.1</v>
      </c>
      <c r="T26" s="89">
        <v>0</v>
      </c>
      <c r="U26" s="89">
        <v>1</v>
      </c>
      <c r="V26" s="89">
        <f t="shared" si="2"/>
        <v>1.1000000000000001</v>
      </c>
      <c r="W26" s="90">
        <v>0.5</v>
      </c>
      <c r="X26" s="90">
        <v>0</v>
      </c>
      <c r="Y26" s="90">
        <v>2.9</v>
      </c>
      <c r="Z26" s="89">
        <f t="shared" si="3"/>
        <v>3.4</v>
      </c>
      <c r="AA26" s="89">
        <v>38.5</v>
      </c>
      <c r="AB26" s="89">
        <v>24.5</v>
      </c>
      <c r="AC26" s="89">
        <v>80.599999999999994</v>
      </c>
      <c r="AD26" s="89">
        <f t="shared" si="4"/>
        <v>143.6</v>
      </c>
      <c r="AE26" s="91">
        <f t="shared" si="5"/>
        <v>168.7</v>
      </c>
      <c r="AF26" s="268">
        <v>1975</v>
      </c>
      <c r="AG26" s="268"/>
      <c r="AH26" s="269"/>
    </row>
    <row r="27" spans="2:34" ht="39.75" customHeight="1">
      <c r="B27" s="270">
        <v>1976</v>
      </c>
      <c r="C27" s="266"/>
      <c r="D27" s="266"/>
      <c r="E27" s="121" t="s">
        <v>44</v>
      </c>
      <c r="F27" s="88" t="s">
        <v>44</v>
      </c>
      <c r="G27" s="87">
        <v>6.5</v>
      </c>
      <c r="H27" s="87">
        <v>0.7</v>
      </c>
      <c r="I27" s="87">
        <v>13.2</v>
      </c>
      <c r="J27" s="87">
        <f t="shared" si="0"/>
        <v>20.399999999999999</v>
      </c>
      <c r="K27" s="87">
        <v>1</v>
      </c>
      <c r="L27" s="87">
        <v>0.21</v>
      </c>
      <c r="M27" s="87">
        <v>9.1</v>
      </c>
      <c r="N27" s="86">
        <f t="shared" si="7"/>
        <v>10.31</v>
      </c>
      <c r="O27" s="87">
        <v>2.4</v>
      </c>
      <c r="P27" s="87">
        <v>0</v>
      </c>
      <c r="Q27" s="87">
        <v>3.9</v>
      </c>
      <c r="R27" s="86">
        <f t="shared" si="6"/>
        <v>6.3</v>
      </c>
      <c r="S27" s="86">
        <v>0</v>
      </c>
      <c r="T27" s="86">
        <v>0</v>
      </c>
      <c r="U27" s="86">
        <v>4.5999999999999996</v>
      </c>
      <c r="V27" s="86">
        <f t="shared" si="2"/>
        <v>4.5999999999999996</v>
      </c>
      <c r="W27" s="87">
        <v>0.9</v>
      </c>
      <c r="X27" s="87">
        <v>0.1</v>
      </c>
      <c r="Y27" s="87">
        <v>2.8</v>
      </c>
      <c r="Z27" s="86">
        <f t="shared" si="3"/>
        <v>3.8</v>
      </c>
      <c r="AA27" s="86">
        <v>49.7</v>
      </c>
      <c r="AB27" s="86">
        <v>48.3</v>
      </c>
      <c r="AC27" s="86">
        <v>106.6</v>
      </c>
      <c r="AD27" s="86">
        <f t="shared" si="4"/>
        <v>204.6</v>
      </c>
      <c r="AE27" s="88">
        <f t="shared" si="5"/>
        <v>250.01000000000002</v>
      </c>
      <c r="AF27" s="266">
        <v>1976</v>
      </c>
      <c r="AG27" s="266"/>
      <c r="AH27" s="267"/>
    </row>
    <row r="28" spans="2:34" ht="39.75" customHeight="1">
      <c r="B28" s="271">
        <v>1977</v>
      </c>
      <c r="C28" s="268"/>
      <c r="D28" s="268"/>
      <c r="E28" s="122" t="s">
        <v>44</v>
      </c>
      <c r="F28" s="91" t="s">
        <v>44</v>
      </c>
      <c r="G28" s="90">
        <v>7.3</v>
      </c>
      <c r="H28" s="90">
        <v>1</v>
      </c>
      <c r="I28" s="90">
        <v>10.6</v>
      </c>
      <c r="J28" s="123">
        <f t="shared" si="0"/>
        <v>18.899999999999999</v>
      </c>
      <c r="K28" s="90">
        <v>2.2000000000000002</v>
      </c>
      <c r="L28" s="90">
        <v>0</v>
      </c>
      <c r="M28" s="90">
        <v>9.3000000000000007</v>
      </c>
      <c r="N28" s="89">
        <f t="shared" si="7"/>
        <v>11.5</v>
      </c>
      <c r="O28" s="90">
        <v>3.4</v>
      </c>
      <c r="P28" s="90">
        <v>0</v>
      </c>
      <c r="Q28" s="90">
        <v>6.1</v>
      </c>
      <c r="R28" s="89">
        <f t="shared" si="6"/>
        <v>9.5</v>
      </c>
      <c r="S28" s="89">
        <v>0.5</v>
      </c>
      <c r="T28" s="89">
        <v>0</v>
      </c>
      <c r="U28" s="89">
        <v>2.7</v>
      </c>
      <c r="V28" s="89">
        <f t="shared" si="2"/>
        <v>3.2</v>
      </c>
      <c r="W28" s="90">
        <v>0.2</v>
      </c>
      <c r="X28" s="90">
        <v>0.3</v>
      </c>
      <c r="Y28" s="90">
        <v>3.7</v>
      </c>
      <c r="Z28" s="89">
        <f t="shared" si="3"/>
        <v>4.2</v>
      </c>
      <c r="AA28" s="89">
        <v>73.3</v>
      </c>
      <c r="AB28" s="89">
        <v>60.8</v>
      </c>
      <c r="AC28" s="89">
        <v>133.4</v>
      </c>
      <c r="AD28" s="89">
        <f t="shared" si="4"/>
        <v>267.5</v>
      </c>
      <c r="AE28" s="91">
        <f t="shared" si="5"/>
        <v>314.79999999999995</v>
      </c>
      <c r="AF28" s="268">
        <v>1977</v>
      </c>
      <c r="AG28" s="268"/>
      <c r="AH28" s="269"/>
    </row>
    <row r="29" spans="2:34" ht="39.75" customHeight="1">
      <c r="B29" s="270">
        <v>1978</v>
      </c>
      <c r="C29" s="266"/>
      <c r="D29" s="266"/>
      <c r="E29" s="121" t="s">
        <v>44</v>
      </c>
      <c r="F29" s="88" t="s">
        <v>44</v>
      </c>
      <c r="G29" s="87">
        <v>31.8</v>
      </c>
      <c r="H29" s="87">
        <v>1.6</v>
      </c>
      <c r="I29" s="87">
        <v>14.1</v>
      </c>
      <c r="J29" s="87">
        <f t="shared" si="0"/>
        <v>47.5</v>
      </c>
      <c r="K29" s="87">
        <v>2.7</v>
      </c>
      <c r="L29" s="87">
        <v>0</v>
      </c>
      <c r="M29" s="87">
        <v>5.2</v>
      </c>
      <c r="N29" s="86">
        <f t="shared" si="7"/>
        <v>7.9</v>
      </c>
      <c r="O29" s="87">
        <v>13</v>
      </c>
      <c r="P29" s="87">
        <v>0.1</v>
      </c>
      <c r="Q29" s="87">
        <v>3.3</v>
      </c>
      <c r="R29" s="86">
        <f t="shared" si="6"/>
        <v>16.399999999999999</v>
      </c>
      <c r="S29" s="86">
        <v>0.4</v>
      </c>
      <c r="T29" s="86">
        <v>0.1</v>
      </c>
      <c r="U29" s="86">
        <v>3</v>
      </c>
      <c r="V29" s="86">
        <f t="shared" si="2"/>
        <v>3.5</v>
      </c>
      <c r="W29" s="87">
        <v>5.5</v>
      </c>
      <c r="X29" s="87">
        <v>0</v>
      </c>
      <c r="Y29" s="87">
        <v>3.1</v>
      </c>
      <c r="Z29" s="86">
        <f t="shared" si="3"/>
        <v>8.6</v>
      </c>
      <c r="AA29" s="86">
        <v>137.5</v>
      </c>
      <c r="AB29" s="86">
        <v>83.2</v>
      </c>
      <c r="AC29" s="86">
        <v>143.9</v>
      </c>
      <c r="AD29" s="86">
        <f t="shared" si="4"/>
        <v>364.6</v>
      </c>
      <c r="AE29" s="88">
        <f t="shared" si="5"/>
        <v>448.5</v>
      </c>
      <c r="AF29" s="266">
        <v>1978</v>
      </c>
      <c r="AG29" s="266"/>
      <c r="AH29" s="267"/>
    </row>
    <row r="30" spans="2:34" ht="39.75" customHeight="1">
      <c r="B30" s="271">
        <v>1979</v>
      </c>
      <c r="C30" s="268"/>
      <c r="D30" s="268"/>
      <c r="E30" s="122" t="s">
        <v>44</v>
      </c>
      <c r="F30" s="91" t="s">
        <v>44</v>
      </c>
      <c r="G30" s="90">
        <v>48.1</v>
      </c>
      <c r="H30" s="90">
        <v>2.1</v>
      </c>
      <c r="I30" s="90">
        <v>16.899999999999999</v>
      </c>
      <c r="J30" s="123">
        <f t="shared" si="0"/>
        <v>67.099999999999994</v>
      </c>
      <c r="K30" s="90">
        <v>6.9</v>
      </c>
      <c r="L30" s="90">
        <v>0</v>
      </c>
      <c r="M30" s="90">
        <v>5.5</v>
      </c>
      <c r="N30" s="89">
        <f t="shared" si="7"/>
        <v>12.4</v>
      </c>
      <c r="O30" s="90">
        <v>24.7</v>
      </c>
      <c r="P30" s="90">
        <v>0</v>
      </c>
      <c r="Q30" s="90">
        <v>8.6999999999999993</v>
      </c>
      <c r="R30" s="89">
        <f t="shared" si="6"/>
        <v>33.4</v>
      </c>
      <c r="S30" s="89">
        <v>2.6</v>
      </c>
      <c r="T30" s="89">
        <v>0</v>
      </c>
      <c r="U30" s="89">
        <v>4.5999999999999996</v>
      </c>
      <c r="V30" s="89">
        <f t="shared" si="2"/>
        <v>7.1999999999999993</v>
      </c>
      <c r="W30" s="90">
        <v>3.8</v>
      </c>
      <c r="X30" s="90">
        <v>0.2</v>
      </c>
      <c r="Y30" s="90">
        <v>3.6</v>
      </c>
      <c r="Z30" s="89">
        <f t="shared" si="3"/>
        <v>7.6</v>
      </c>
      <c r="AA30" s="89">
        <v>184.9</v>
      </c>
      <c r="AB30" s="89">
        <v>106.7</v>
      </c>
      <c r="AC30" s="89">
        <v>173.8</v>
      </c>
      <c r="AD30" s="89">
        <f t="shared" si="4"/>
        <v>465.40000000000003</v>
      </c>
      <c r="AE30" s="91">
        <f t="shared" si="5"/>
        <v>593.1</v>
      </c>
      <c r="AF30" s="268">
        <v>1979</v>
      </c>
      <c r="AG30" s="268"/>
      <c r="AH30" s="269"/>
    </row>
    <row r="31" spans="2:34" ht="39.75" customHeight="1">
      <c r="B31" s="270">
        <v>1980</v>
      </c>
      <c r="C31" s="266"/>
      <c r="D31" s="266"/>
      <c r="E31" s="121" t="s">
        <v>44</v>
      </c>
      <c r="F31" s="88" t="s">
        <v>44</v>
      </c>
      <c r="G31" s="87">
        <v>81.5</v>
      </c>
      <c r="H31" s="87">
        <v>2.2000000000000002</v>
      </c>
      <c r="I31" s="87">
        <v>49.5</v>
      </c>
      <c r="J31" s="87">
        <f t="shared" si="0"/>
        <v>133.19999999999999</v>
      </c>
      <c r="K31" s="87">
        <v>14</v>
      </c>
      <c r="L31" s="87">
        <v>0</v>
      </c>
      <c r="M31" s="87">
        <v>6.6</v>
      </c>
      <c r="N31" s="86">
        <f t="shared" si="7"/>
        <v>20.6</v>
      </c>
      <c r="O31" s="87">
        <v>36</v>
      </c>
      <c r="P31" s="87">
        <v>0.2</v>
      </c>
      <c r="Q31" s="87">
        <v>6.8</v>
      </c>
      <c r="R31" s="86">
        <f t="shared" si="6"/>
        <v>43</v>
      </c>
      <c r="S31" s="86">
        <v>2.7</v>
      </c>
      <c r="T31" s="86">
        <v>0</v>
      </c>
      <c r="U31" s="86">
        <v>3.7</v>
      </c>
      <c r="V31" s="86">
        <f t="shared" si="2"/>
        <v>6.4</v>
      </c>
      <c r="W31" s="87">
        <v>21.8</v>
      </c>
      <c r="X31" s="87">
        <v>0.3</v>
      </c>
      <c r="Y31" s="87">
        <v>2.6</v>
      </c>
      <c r="Z31" s="86">
        <f t="shared" si="3"/>
        <v>24.700000000000003</v>
      </c>
      <c r="AA31" s="86">
        <v>235.5</v>
      </c>
      <c r="AB31" s="86">
        <v>126.2</v>
      </c>
      <c r="AC31" s="86">
        <v>218.9</v>
      </c>
      <c r="AD31" s="86">
        <f t="shared" si="4"/>
        <v>580.6</v>
      </c>
      <c r="AE31" s="88">
        <f t="shared" si="5"/>
        <v>808.5</v>
      </c>
      <c r="AF31" s="266">
        <v>1980</v>
      </c>
      <c r="AG31" s="266"/>
      <c r="AH31" s="267"/>
    </row>
    <row r="32" spans="2:34" ht="39.75" customHeight="1">
      <c r="B32" s="271">
        <v>1981</v>
      </c>
      <c r="C32" s="268"/>
      <c r="D32" s="268"/>
      <c r="E32" s="122" t="s">
        <v>44</v>
      </c>
      <c r="F32" s="91" t="s">
        <v>44</v>
      </c>
      <c r="G32" s="90">
        <v>113.1</v>
      </c>
      <c r="H32" s="90">
        <v>6.5</v>
      </c>
      <c r="I32" s="90">
        <v>24</v>
      </c>
      <c r="J32" s="123">
        <f t="shared" si="0"/>
        <v>143.6</v>
      </c>
      <c r="K32" s="90">
        <v>12.2</v>
      </c>
      <c r="L32" s="90">
        <v>0.1</v>
      </c>
      <c r="M32" s="90">
        <v>7</v>
      </c>
      <c r="N32" s="89">
        <f t="shared" si="7"/>
        <v>19.299999999999997</v>
      </c>
      <c r="O32" s="90">
        <v>51.5</v>
      </c>
      <c r="P32" s="90">
        <v>1</v>
      </c>
      <c r="Q32" s="90">
        <v>5.4</v>
      </c>
      <c r="R32" s="89">
        <f t="shared" si="6"/>
        <v>57.9</v>
      </c>
      <c r="S32" s="89">
        <v>4.0999999999999996</v>
      </c>
      <c r="T32" s="89">
        <v>0.2</v>
      </c>
      <c r="U32" s="89">
        <v>4.5999999999999996</v>
      </c>
      <c r="V32" s="89">
        <f t="shared" si="2"/>
        <v>8.8999999999999986</v>
      </c>
      <c r="W32" s="90">
        <v>38</v>
      </c>
      <c r="X32" s="90">
        <v>0.1</v>
      </c>
      <c r="Y32" s="90">
        <v>3.5</v>
      </c>
      <c r="Z32" s="89">
        <f t="shared" si="3"/>
        <v>41.6</v>
      </c>
      <c r="AA32" s="89">
        <v>281.10000000000002</v>
      </c>
      <c r="AB32" s="89">
        <v>153.30000000000001</v>
      </c>
      <c r="AC32" s="89">
        <v>272</v>
      </c>
      <c r="AD32" s="89">
        <f t="shared" si="4"/>
        <v>706.40000000000009</v>
      </c>
      <c r="AE32" s="91">
        <f t="shared" si="5"/>
        <v>977.7</v>
      </c>
      <c r="AF32" s="268">
        <v>1981</v>
      </c>
      <c r="AG32" s="268"/>
      <c r="AH32" s="269"/>
    </row>
    <row r="33" spans="1:35" ht="39.75" customHeight="1">
      <c r="B33" s="270">
        <v>1982</v>
      </c>
      <c r="C33" s="266"/>
      <c r="D33" s="266"/>
      <c r="E33" s="121" t="s">
        <v>44</v>
      </c>
      <c r="F33" s="88" t="s">
        <v>44</v>
      </c>
      <c r="G33" s="87">
        <v>130.9</v>
      </c>
      <c r="H33" s="87">
        <v>6.9</v>
      </c>
      <c r="I33" s="87">
        <v>33.799999999999997</v>
      </c>
      <c r="J33" s="87">
        <f t="shared" si="0"/>
        <v>171.6</v>
      </c>
      <c r="K33" s="87">
        <v>20.5</v>
      </c>
      <c r="L33" s="87">
        <v>0.1</v>
      </c>
      <c r="M33" s="87">
        <v>9.3000000000000007</v>
      </c>
      <c r="N33" s="86">
        <f t="shared" si="7"/>
        <v>29.9</v>
      </c>
      <c r="O33" s="87">
        <v>41.9</v>
      </c>
      <c r="P33" s="87">
        <v>0.2</v>
      </c>
      <c r="Q33" s="87">
        <v>6.3</v>
      </c>
      <c r="R33" s="86">
        <f t="shared" si="6"/>
        <v>48.4</v>
      </c>
      <c r="S33" s="86">
        <v>4.3</v>
      </c>
      <c r="T33" s="86">
        <v>0.3</v>
      </c>
      <c r="U33" s="86">
        <v>3.6</v>
      </c>
      <c r="V33" s="86">
        <f t="shared" si="2"/>
        <v>8.1999999999999993</v>
      </c>
      <c r="W33" s="87">
        <v>22.7</v>
      </c>
      <c r="X33" s="87">
        <v>0.2</v>
      </c>
      <c r="Y33" s="87">
        <v>5.0999999999999996</v>
      </c>
      <c r="Z33" s="86">
        <f t="shared" si="3"/>
        <v>28</v>
      </c>
      <c r="AA33" s="86">
        <v>406.4</v>
      </c>
      <c r="AB33" s="86">
        <v>180.6</v>
      </c>
      <c r="AC33" s="86">
        <v>296.39999999999998</v>
      </c>
      <c r="AD33" s="86">
        <f t="shared" si="4"/>
        <v>883.4</v>
      </c>
      <c r="AE33" s="88">
        <f t="shared" si="5"/>
        <v>1169.5</v>
      </c>
      <c r="AF33" s="266">
        <v>1982</v>
      </c>
      <c r="AG33" s="266"/>
      <c r="AH33" s="267"/>
    </row>
    <row r="34" spans="1:35" ht="39.75" customHeight="1">
      <c r="B34" s="271">
        <v>1983</v>
      </c>
      <c r="C34" s="268"/>
      <c r="D34" s="268"/>
      <c r="E34" s="122" t="s">
        <v>44</v>
      </c>
      <c r="F34" s="91" t="s">
        <v>44</v>
      </c>
      <c r="G34" s="90">
        <v>177.1</v>
      </c>
      <c r="H34" s="90">
        <v>7.5</v>
      </c>
      <c r="I34" s="90">
        <v>32.1</v>
      </c>
      <c r="J34" s="123">
        <f t="shared" si="0"/>
        <v>216.7</v>
      </c>
      <c r="K34" s="90">
        <v>25.2</v>
      </c>
      <c r="L34" s="90">
        <v>0.1</v>
      </c>
      <c r="M34" s="90">
        <v>11.5</v>
      </c>
      <c r="N34" s="89">
        <f t="shared" si="7"/>
        <v>36.799999999999997</v>
      </c>
      <c r="O34" s="90">
        <v>54.5</v>
      </c>
      <c r="P34" s="90">
        <v>0.5</v>
      </c>
      <c r="Q34" s="90">
        <v>5.4</v>
      </c>
      <c r="R34" s="89">
        <f t="shared" si="6"/>
        <v>60.4</v>
      </c>
      <c r="S34" s="89">
        <v>5.5</v>
      </c>
      <c r="T34" s="89">
        <v>0.3</v>
      </c>
      <c r="U34" s="89">
        <v>6.8</v>
      </c>
      <c r="V34" s="89">
        <f t="shared" si="2"/>
        <v>12.6</v>
      </c>
      <c r="W34" s="90">
        <v>28.5</v>
      </c>
      <c r="X34" s="90">
        <v>0.5</v>
      </c>
      <c r="Y34" s="90">
        <v>6.9</v>
      </c>
      <c r="Z34" s="89">
        <f t="shared" si="3"/>
        <v>35.9</v>
      </c>
      <c r="AA34" s="89">
        <v>503.3</v>
      </c>
      <c r="AB34" s="89">
        <v>207.1</v>
      </c>
      <c r="AC34" s="89">
        <v>325</v>
      </c>
      <c r="AD34" s="89">
        <f t="shared" si="4"/>
        <v>1035.4000000000001</v>
      </c>
      <c r="AE34" s="91">
        <f t="shared" si="5"/>
        <v>1397.8000000000002</v>
      </c>
      <c r="AF34" s="268">
        <v>1983</v>
      </c>
      <c r="AG34" s="268"/>
      <c r="AH34" s="269"/>
    </row>
    <row r="35" spans="1:35" ht="39.75" customHeight="1">
      <c r="B35" s="270">
        <v>1984</v>
      </c>
      <c r="C35" s="266"/>
      <c r="D35" s="266"/>
      <c r="E35" s="124">
        <v>303.89999999999998</v>
      </c>
      <c r="F35" s="125">
        <v>1299.2</v>
      </c>
      <c r="G35" s="87">
        <v>218.4</v>
      </c>
      <c r="H35" s="87">
        <v>8.5</v>
      </c>
      <c r="I35" s="87">
        <v>50</v>
      </c>
      <c r="J35" s="87">
        <f t="shared" si="0"/>
        <v>276.89999999999998</v>
      </c>
      <c r="K35" s="87">
        <v>29.7</v>
      </c>
      <c r="L35" s="87">
        <v>0.1</v>
      </c>
      <c r="M35" s="87">
        <v>16.8</v>
      </c>
      <c r="N35" s="86">
        <f t="shared" si="7"/>
        <v>46.6</v>
      </c>
      <c r="O35" s="87">
        <v>59</v>
      </c>
      <c r="P35" s="87">
        <v>0.2</v>
      </c>
      <c r="Q35" s="87">
        <v>6.1</v>
      </c>
      <c r="R35" s="86">
        <f t="shared" si="6"/>
        <v>65.3</v>
      </c>
      <c r="S35" s="86">
        <v>5</v>
      </c>
      <c r="T35" s="86">
        <v>0.1</v>
      </c>
      <c r="U35" s="86">
        <v>6</v>
      </c>
      <c r="V35" s="86">
        <f t="shared" si="2"/>
        <v>11.1</v>
      </c>
      <c r="W35" s="87">
        <v>28.1</v>
      </c>
      <c r="X35" s="87">
        <v>0.3</v>
      </c>
      <c r="Y35" s="87">
        <v>5</v>
      </c>
      <c r="Z35" s="86">
        <f t="shared" si="3"/>
        <v>33.400000000000006</v>
      </c>
      <c r="AA35" s="86">
        <v>618</v>
      </c>
      <c r="AB35" s="86">
        <v>226</v>
      </c>
      <c r="AC35" s="86">
        <v>325.8</v>
      </c>
      <c r="AD35" s="86">
        <f t="shared" si="4"/>
        <v>1169.8</v>
      </c>
      <c r="AE35" s="88">
        <f t="shared" si="5"/>
        <v>1603.1</v>
      </c>
      <c r="AF35" s="266">
        <v>1984</v>
      </c>
      <c r="AG35" s="266"/>
      <c r="AH35" s="267"/>
      <c r="AI35" s="37"/>
    </row>
    <row r="36" spans="1:35" ht="39.75" customHeight="1">
      <c r="B36" s="271">
        <v>1985</v>
      </c>
      <c r="C36" s="268"/>
      <c r="D36" s="268"/>
      <c r="E36" s="126">
        <v>331.9</v>
      </c>
      <c r="F36" s="127">
        <v>1415.3</v>
      </c>
      <c r="G36" s="90">
        <v>246.2</v>
      </c>
      <c r="H36" s="90">
        <v>8.1999999999999993</v>
      </c>
      <c r="I36" s="90">
        <v>39.9</v>
      </c>
      <c r="J36" s="123">
        <f t="shared" si="0"/>
        <v>294.29999999999995</v>
      </c>
      <c r="K36" s="90">
        <v>36.700000000000003</v>
      </c>
      <c r="L36" s="90">
        <v>0</v>
      </c>
      <c r="M36" s="90">
        <v>19.8</v>
      </c>
      <c r="N36" s="89">
        <f t="shared" si="7"/>
        <v>56.5</v>
      </c>
      <c r="O36" s="90">
        <v>58</v>
      </c>
      <c r="P36" s="90">
        <v>0.4</v>
      </c>
      <c r="Q36" s="90">
        <v>6.4</v>
      </c>
      <c r="R36" s="89">
        <f t="shared" si="6"/>
        <v>64.8</v>
      </c>
      <c r="S36" s="89">
        <v>8.1</v>
      </c>
      <c r="T36" s="89">
        <v>0.1</v>
      </c>
      <c r="U36" s="89">
        <v>5.0999999999999996</v>
      </c>
      <c r="V36" s="89">
        <f t="shared" si="2"/>
        <v>13.299999999999999</v>
      </c>
      <c r="W36" s="90">
        <v>32.9</v>
      </c>
      <c r="X36" s="90">
        <v>0.3</v>
      </c>
      <c r="Y36" s="90">
        <v>10.7</v>
      </c>
      <c r="Z36" s="89">
        <f t="shared" si="3"/>
        <v>43.899999999999991</v>
      </c>
      <c r="AA36" s="89">
        <v>752.1</v>
      </c>
      <c r="AB36" s="89">
        <v>229.7</v>
      </c>
      <c r="AC36" s="89">
        <v>292.60000000000002</v>
      </c>
      <c r="AD36" s="89">
        <f t="shared" si="4"/>
        <v>1274.4000000000001</v>
      </c>
      <c r="AE36" s="91">
        <f t="shared" si="5"/>
        <v>1747.2</v>
      </c>
      <c r="AF36" s="268">
        <v>1985</v>
      </c>
      <c r="AG36" s="268"/>
      <c r="AH36" s="269"/>
      <c r="AI36" s="37"/>
    </row>
    <row r="37" spans="1:35" ht="39.75" customHeight="1">
      <c r="B37" s="270">
        <v>1986</v>
      </c>
      <c r="C37" s="266"/>
      <c r="D37" s="266"/>
      <c r="E37" s="124">
        <v>349.5</v>
      </c>
      <c r="F37" s="125">
        <v>1596.8</v>
      </c>
      <c r="G37" s="87">
        <v>265.5</v>
      </c>
      <c r="H37" s="87">
        <v>7.7</v>
      </c>
      <c r="I37" s="87">
        <v>32.299999999999997</v>
      </c>
      <c r="J37" s="87">
        <f t="shared" si="0"/>
        <v>305.5</v>
      </c>
      <c r="K37" s="87">
        <v>55.7</v>
      </c>
      <c r="L37" s="87">
        <v>0.2</v>
      </c>
      <c r="M37" s="87">
        <v>19.5</v>
      </c>
      <c r="N37" s="86">
        <f t="shared" si="7"/>
        <v>75.400000000000006</v>
      </c>
      <c r="O37" s="87">
        <v>72.099999999999994</v>
      </c>
      <c r="P37" s="87">
        <v>0.6</v>
      </c>
      <c r="Q37" s="87">
        <v>8.1</v>
      </c>
      <c r="R37" s="86">
        <f t="shared" si="6"/>
        <v>80.799999999999983</v>
      </c>
      <c r="S37" s="86">
        <v>13.4</v>
      </c>
      <c r="T37" s="86">
        <v>0.3</v>
      </c>
      <c r="U37" s="86">
        <v>4.7</v>
      </c>
      <c r="V37" s="86">
        <f t="shared" si="2"/>
        <v>18.400000000000002</v>
      </c>
      <c r="W37" s="87">
        <v>34.6</v>
      </c>
      <c r="X37" s="87">
        <v>0.5</v>
      </c>
      <c r="Y37" s="87">
        <v>6.1</v>
      </c>
      <c r="Z37" s="86">
        <f t="shared" si="3"/>
        <v>41.2</v>
      </c>
      <c r="AA37" s="86">
        <v>878.6</v>
      </c>
      <c r="AB37" s="86">
        <v>246.5</v>
      </c>
      <c r="AC37" s="86">
        <v>299.89999999999998</v>
      </c>
      <c r="AD37" s="86">
        <f t="shared" si="4"/>
        <v>1425</v>
      </c>
      <c r="AE37" s="88">
        <f t="shared" si="5"/>
        <v>1946.3000000000002</v>
      </c>
      <c r="AF37" s="266">
        <v>1986</v>
      </c>
      <c r="AG37" s="266"/>
      <c r="AH37" s="267"/>
      <c r="AI37" s="37"/>
    </row>
    <row r="38" spans="1:35" ht="39.75" customHeight="1">
      <c r="B38" s="271">
        <v>1987</v>
      </c>
      <c r="C38" s="268"/>
      <c r="D38" s="268"/>
      <c r="E38" s="126">
        <v>384.2</v>
      </c>
      <c r="F38" s="127">
        <v>1758.2</v>
      </c>
      <c r="G38" s="90">
        <v>259.5</v>
      </c>
      <c r="H38" s="90">
        <v>8.5</v>
      </c>
      <c r="I38" s="90">
        <v>32.799999999999997</v>
      </c>
      <c r="J38" s="123">
        <f t="shared" si="0"/>
        <v>300.8</v>
      </c>
      <c r="K38" s="90">
        <v>60.4</v>
      </c>
      <c r="L38" s="90">
        <v>0.1</v>
      </c>
      <c r="M38" s="90">
        <v>19</v>
      </c>
      <c r="N38" s="89">
        <f t="shared" si="7"/>
        <v>79.5</v>
      </c>
      <c r="O38" s="90">
        <v>42.4</v>
      </c>
      <c r="P38" s="90">
        <v>0.1</v>
      </c>
      <c r="Q38" s="90">
        <v>5.3</v>
      </c>
      <c r="R38" s="89">
        <f t="shared" si="6"/>
        <v>47.8</v>
      </c>
      <c r="S38" s="89">
        <v>2.6</v>
      </c>
      <c r="T38" s="89">
        <v>0.4</v>
      </c>
      <c r="U38" s="89">
        <v>2.9</v>
      </c>
      <c r="V38" s="89">
        <f t="shared" si="2"/>
        <v>5.9</v>
      </c>
      <c r="W38" s="90">
        <v>36.9</v>
      </c>
      <c r="X38" s="90">
        <v>0.2</v>
      </c>
      <c r="Y38" s="90">
        <v>7.3</v>
      </c>
      <c r="Z38" s="89">
        <f t="shared" si="3"/>
        <v>44.4</v>
      </c>
      <c r="AA38" s="89">
        <v>1077.3</v>
      </c>
      <c r="AB38" s="89">
        <v>274</v>
      </c>
      <c r="AC38" s="89">
        <v>312.7</v>
      </c>
      <c r="AD38" s="89">
        <f t="shared" si="4"/>
        <v>1664</v>
      </c>
      <c r="AE38" s="91">
        <f t="shared" si="5"/>
        <v>2142.4</v>
      </c>
      <c r="AF38" s="268">
        <v>1987</v>
      </c>
      <c r="AG38" s="268"/>
      <c r="AH38" s="269"/>
      <c r="AI38" s="37"/>
    </row>
    <row r="39" spans="1:35" ht="39.75" customHeight="1">
      <c r="B39" s="270">
        <v>1988</v>
      </c>
      <c r="C39" s="266"/>
      <c r="D39" s="266"/>
      <c r="E39" s="124">
        <v>535</v>
      </c>
      <c r="F39" s="125">
        <v>1811.1</v>
      </c>
      <c r="G39" s="87">
        <v>358.2</v>
      </c>
      <c r="H39" s="87">
        <v>8.6</v>
      </c>
      <c r="I39" s="87">
        <v>55.7</v>
      </c>
      <c r="J39" s="87">
        <f t="shared" si="0"/>
        <v>422.5</v>
      </c>
      <c r="K39" s="87">
        <v>43.7</v>
      </c>
      <c r="L39" s="87">
        <v>0.1</v>
      </c>
      <c r="M39" s="87">
        <v>20.5</v>
      </c>
      <c r="N39" s="86">
        <f t="shared" si="7"/>
        <v>64.300000000000011</v>
      </c>
      <c r="O39" s="87">
        <v>41</v>
      </c>
      <c r="P39" s="87">
        <v>0.2</v>
      </c>
      <c r="Q39" s="87">
        <v>5.0999999999999996</v>
      </c>
      <c r="R39" s="86">
        <f t="shared" si="6"/>
        <v>46.300000000000004</v>
      </c>
      <c r="S39" s="86">
        <v>5.2</v>
      </c>
      <c r="T39" s="86">
        <v>0</v>
      </c>
      <c r="U39" s="86">
        <v>4.0999999999999996</v>
      </c>
      <c r="V39" s="86">
        <f t="shared" si="2"/>
        <v>9.3000000000000007</v>
      </c>
      <c r="W39" s="87">
        <v>51</v>
      </c>
      <c r="X39" s="87">
        <v>0.2</v>
      </c>
      <c r="Y39" s="87">
        <v>5.2</v>
      </c>
      <c r="Z39" s="86">
        <f t="shared" si="3"/>
        <v>56.400000000000006</v>
      </c>
      <c r="AA39" s="86">
        <v>1102.0999999999999</v>
      </c>
      <c r="AB39" s="86">
        <v>300.8</v>
      </c>
      <c r="AC39" s="86">
        <v>344.4</v>
      </c>
      <c r="AD39" s="86">
        <f t="shared" si="4"/>
        <v>1747.2999999999997</v>
      </c>
      <c r="AE39" s="88">
        <f t="shared" si="5"/>
        <v>2346.0999999999995</v>
      </c>
      <c r="AF39" s="266">
        <v>1988</v>
      </c>
      <c r="AG39" s="266"/>
      <c r="AH39" s="267"/>
      <c r="AI39" s="37"/>
    </row>
    <row r="40" spans="1:35" ht="39.75" customHeight="1">
      <c r="B40" s="271">
        <v>1989</v>
      </c>
      <c r="C40" s="268"/>
      <c r="D40" s="268"/>
      <c r="E40" s="126">
        <v>646.70000000000005</v>
      </c>
      <c r="F40" s="127">
        <v>1978.7</v>
      </c>
      <c r="G40" s="90">
        <v>332.9</v>
      </c>
      <c r="H40" s="90">
        <v>8.1</v>
      </c>
      <c r="I40" s="90">
        <v>59.4</v>
      </c>
      <c r="J40" s="123">
        <f t="shared" si="0"/>
        <v>400.4</v>
      </c>
      <c r="K40" s="90">
        <v>57.4</v>
      </c>
      <c r="L40" s="90">
        <v>0.1</v>
      </c>
      <c r="M40" s="90">
        <v>17.399999999999999</v>
      </c>
      <c r="N40" s="89">
        <f t="shared" si="7"/>
        <v>74.900000000000006</v>
      </c>
      <c r="O40" s="90">
        <v>79.099999999999994</v>
      </c>
      <c r="P40" s="90">
        <v>0</v>
      </c>
      <c r="Q40" s="90">
        <v>7.1</v>
      </c>
      <c r="R40" s="89">
        <f t="shared" si="6"/>
        <v>86.199999999999989</v>
      </c>
      <c r="S40" s="89">
        <v>5.9</v>
      </c>
      <c r="T40" s="89">
        <v>0</v>
      </c>
      <c r="U40" s="89">
        <v>2.7</v>
      </c>
      <c r="V40" s="89">
        <f t="shared" si="2"/>
        <v>8.6000000000000014</v>
      </c>
      <c r="W40" s="90">
        <v>66.099999999999994</v>
      </c>
      <c r="X40" s="90">
        <v>0.4</v>
      </c>
      <c r="Y40" s="90">
        <v>9.5</v>
      </c>
      <c r="Z40" s="89">
        <f t="shared" si="3"/>
        <v>76</v>
      </c>
      <c r="AA40" s="89">
        <v>1228.7</v>
      </c>
      <c r="AB40" s="89">
        <v>337.4</v>
      </c>
      <c r="AC40" s="89">
        <v>413.2</v>
      </c>
      <c r="AD40" s="89">
        <f t="shared" si="4"/>
        <v>1979.3</v>
      </c>
      <c r="AE40" s="91">
        <f t="shared" si="5"/>
        <v>2625.4</v>
      </c>
      <c r="AF40" s="268">
        <v>1989</v>
      </c>
      <c r="AG40" s="268"/>
      <c r="AH40" s="269"/>
      <c r="AI40" s="37"/>
    </row>
    <row r="41" spans="1:35" ht="39.75" customHeight="1">
      <c r="B41" s="270">
        <v>1990</v>
      </c>
      <c r="C41" s="266"/>
      <c r="D41" s="266"/>
      <c r="E41" s="124">
        <v>712.4</v>
      </c>
      <c r="F41" s="125">
        <v>1930.2</v>
      </c>
      <c r="G41" s="87">
        <v>274.60000000000002</v>
      </c>
      <c r="H41" s="87">
        <v>11.8</v>
      </c>
      <c r="I41" s="87">
        <v>100.5</v>
      </c>
      <c r="J41" s="87">
        <f t="shared" si="0"/>
        <v>386.90000000000003</v>
      </c>
      <c r="K41" s="87">
        <v>59.5</v>
      </c>
      <c r="L41" s="87">
        <v>0.1</v>
      </c>
      <c r="M41" s="87">
        <v>18.399999999999999</v>
      </c>
      <c r="N41" s="86">
        <f t="shared" si="7"/>
        <v>78</v>
      </c>
      <c r="O41" s="87">
        <v>84.9</v>
      </c>
      <c r="P41" s="87">
        <v>0</v>
      </c>
      <c r="Q41" s="87">
        <v>5.9</v>
      </c>
      <c r="R41" s="86">
        <f t="shared" si="6"/>
        <v>90.800000000000011</v>
      </c>
      <c r="S41" s="86">
        <v>10.5</v>
      </c>
      <c r="T41" s="86">
        <v>0</v>
      </c>
      <c r="U41" s="86">
        <v>2.7</v>
      </c>
      <c r="V41" s="86">
        <f t="shared" si="2"/>
        <v>13.2</v>
      </c>
      <c r="W41" s="87">
        <v>106.5</v>
      </c>
      <c r="X41" s="87">
        <v>0.8</v>
      </c>
      <c r="Y41" s="87">
        <v>10.1</v>
      </c>
      <c r="Z41" s="86">
        <f t="shared" si="3"/>
        <v>117.39999999999999</v>
      </c>
      <c r="AA41" s="86">
        <v>1244.7</v>
      </c>
      <c r="AB41" s="86">
        <v>310.60000000000002</v>
      </c>
      <c r="AC41" s="86">
        <v>401.1</v>
      </c>
      <c r="AD41" s="86">
        <f t="shared" si="4"/>
        <v>1956.4</v>
      </c>
      <c r="AE41" s="88">
        <f t="shared" si="5"/>
        <v>2642.7000000000003</v>
      </c>
      <c r="AF41" s="266">
        <v>1990</v>
      </c>
      <c r="AG41" s="266"/>
      <c r="AH41" s="267"/>
      <c r="AI41" s="37"/>
    </row>
    <row r="42" spans="1:35" ht="39.75" customHeight="1">
      <c r="B42" s="271">
        <v>1991</v>
      </c>
      <c r="C42" s="268"/>
      <c r="D42" s="268"/>
      <c r="E42" s="126">
        <v>1573.3</v>
      </c>
      <c r="F42" s="127">
        <v>2448.8000000000002</v>
      </c>
      <c r="G42" s="90">
        <v>836.7</v>
      </c>
      <c r="H42" s="90">
        <v>78.099999999999994</v>
      </c>
      <c r="I42" s="90">
        <v>231</v>
      </c>
      <c r="J42" s="123">
        <f t="shared" si="0"/>
        <v>1145.8000000000002</v>
      </c>
      <c r="K42" s="90">
        <v>83.5</v>
      </c>
      <c r="L42" s="90">
        <v>0.1</v>
      </c>
      <c r="M42" s="90">
        <v>25.2</v>
      </c>
      <c r="N42" s="89">
        <f t="shared" si="7"/>
        <v>108.8</v>
      </c>
      <c r="O42" s="90">
        <v>96.9</v>
      </c>
      <c r="P42" s="90">
        <v>0.1</v>
      </c>
      <c r="Q42" s="90">
        <v>6.6</v>
      </c>
      <c r="R42" s="89">
        <f t="shared" si="6"/>
        <v>103.6</v>
      </c>
      <c r="S42" s="89">
        <v>15.9</v>
      </c>
      <c r="T42" s="89">
        <v>0</v>
      </c>
      <c r="U42" s="89">
        <v>3.4</v>
      </c>
      <c r="V42" s="89">
        <f t="shared" si="2"/>
        <v>19.3</v>
      </c>
      <c r="W42" s="90">
        <v>79</v>
      </c>
      <c r="X42" s="90">
        <v>1.4</v>
      </c>
      <c r="Y42" s="90">
        <v>7.2</v>
      </c>
      <c r="Z42" s="89">
        <f t="shared" si="3"/>
        <v>87.600000000000009</v>
      </c>
      <c r="AA42" s="89">
        <v>1553.8</v>
      </c>
      <c r="AB42" s="89">
        <v>430</v>
      </c>
      <c r="AC42" s="89">
        <v>573.20000000000005</v>
      </c>
      <c r="AD42" s="89">
        <f t="shared" si="4"/>
        <v>2557</v>
      </c>
      <c r="AE42" s="91">
        <f t="shared" si="5"/>
        <v>4022.1000000000004</v>
      </c>
      <c r="AF42" s="268">
        <v>1991</v>
      </c>
      <c r="AG42" s="268"/>
      <c r="AH42" s="269"/>
      <c r="AI42" s="37"/>
    </row>
    <row r="43" spans="1:35" ht="39.75" customHeight="1">
      <c r="B43" s="270">
        <v>1992</v>
      </c>
      <c r="C43" s="266"/>
      <c r="D43" s="266"/>
      <c r="E43" s="124">
        <v>1964</v>
      </c>
      <c r="F43" s="125">
        <v>2785</v>
      </c>
      <c r="G43" s="87">
        <v>1028.8</v>
      </c>
      <c r="H43" s="87">
        <v>96.9</v>
      </c>
      <c r="I43" s="87">
        <v>397.2</v>
      </c>
      <c r="J43" s="87">
        <f t="shared" si="0"/>
        <v>1522.9</v>
      </c>
      <c r="K43" s="87">
        <v>63.9</v>
      </c>
      <c r="L43" s="87">
        <v>0.1</v>
      </c>
      <c r="M43" s="87">
        <v>23.8</v>
      </c>
      <c r="N43" s="86">
        <f t="shared" si="7"/>
        <v>87.8</v>
      </c>
      <c r="O43" s="87">
        <v>2.8</v>
      </c>
      <c r="P43" s="87">
        <v>0.1</v>
      </c>
      <c r="Q43" s="87">
        <v>0.7</v>
      </c>
      <c r="R43" s="86">
        <f t="shared" si="6"/>
        <v>3.5999999999999996</v>
      </c>
      <c r="S43" s="86">
        <v>2.2999999999999998</v>
      </c>
      <c r="T43" s="86">
        <v>0</v>
      </c>
      <c r="U43" s="86">
        <v>3.8</v>
      </c>
      <c r="V43" s="86">
        <f t="shared" si="2"/>
        <v>6.1</v>
      </c>
      <c r="W43" s="87">
        <v>327.39999999999998</v>
      </c>
      <c r="X43" s="87">
        <v>1.4</v>
      </c>
      <c r="Y43" s="87">
        <v>28.1</v>
      </c>
      <c r="Z43" s="86">
        <f t="shared" si="3"/>
        <v>356.9</v>
      </c>
      <c r="AA43" s="86">
        <v>1615.3</v>
      </c>
      <c r="AB43" s="86">
        <v>502.4</v>
      </c>
      <c r="AC43" s="86">
        <v>654</v>
      </c>
      <c r="AD43" s="86">
        <f>AA43+AB43+AC43</f>
        <v>2771.7</v>
      </c>
      <c r="AE43" s="88">
        <f t="shared" si="5"/>
        <v>4749</v>
      </c>
      <c r="AF43" s="266">
        <v>1992</v>
      </c>
      <c r="AG43" s="266"/>
      <c r="AH43" s="267"/>
      <c r="AI43" s="37"/>
    </row>
    <row r="44" spans="1:35" s="9" customFormat="1" ht="6" customHeight="1">
      <c r="A44" s="11"/>
      <c r="B44" s="128"/>
      <c r="C44" s="95"/>
      <c r="D44" s="129"/>
      <c r="E44" s="130"/>
      <c r="F44" s="131"/>
      <c r="G44" s="92"/>
      <c r="H44" s="92"/>
      <c r="I44" s="92"/>
      <c r="J44" s="93"/>
      <c r="K44" s="92"/>
      <c r="L44" s="92"/>
      <c r="M44" s="92"/>
      <c r="N44" s="93"/>
      <c r="O44" s="92"/>
      <c r="P44" s="92"/>
      <c r="Q44" s="92"/>
      <c r="R44" s="93"/>
      <c r="S44" s="92"/>
      <c r="T44" s="92"/>
      <c r="U44" s="92"/>
      <c r="V44" s="93"/>
      <c r="W44" s="92"/>
      <c r="X44" s="92"/>
      <c r="Y44" s="92"/>
      <c r="Z44" s="93"/>
      <c r="AA44" s="92"/>
      <c r="AB44" s="92"/>
      <c r="AC44" s="92"/>
      <c r="AD44" s="93"/>
      <c r="AE44" s="94"/>
      <c r="AF44" s="95"/>
      <c r="AG44" s="95"/>
      <c r="AH44" s="96"/>
      <c r="AI44" s="37"/>
    </row>
    <row r="45" spans="1:35" s="9" customFormat="1" ht="28.35" customHeight="1">
      <c r="A45" s="11"/>
      <c r="B45" s="30"/>
      <c r="C45" s="29"/>
      <c r="D45" s="30"/>
      <c r="E45" s="39"/>
      <c r="F45" s="39"/>
      <c r="G45" s="28"/>
      <c r="H45" s="28"/>
      <c r="I45" s="28"/>
      <c r="J45" s="31"/>
      <c r="K45" s="28"/>
      <c r="L45" s="28"/>
      <c r="M45" s="28"/>
      <c r="N45" s="31"/>
      <c r="O45" s="28"/>
      <c r="P45" s="28"/>
      <c r="Q45" s="28"/>
      <c r="R45" s="31"/>
      <c r="S45" s="28"/>
      <c r="T45" s="28"/>
      <c r="U45" s="28"/>
      <c r="V45" s="31"/>
      <c r="W45" s="28"/>
      <c r="X45" s="28"/>
      <c r="Y45" s="28"/>
      <c r="Z45" s="31"/>
      <c r="AA45" s="28"/>
      <c r="AB45" s="28"/>
      <c r="AC45" s="28"/>
      <c r="AD45" s="31"/>
      <c r="AE45" s="31"/>
      <c r="AF45" s="30"/>
      <c r="AG45" s="30"/>
      <c r="AH45" s="32"/>
      <c r="AI45" s="37"/>
    </row>
    <row r="46" spans="1:35" s="9" customFormat="1" ht="28.35" customHeight="1">
      <c r="A46" s="11"/>
      <c r="B46" s="242" t="s">
        <v>46</v>
      </c>
      <c r="C46" s="242"/>
      <c r="D46" s="242"/>
      <c r="E46" s="242"/>
      <c r="F46" s="242"/>
      <c r="G46" s="242"/>
      <c r="H46" s="242"/>
      <c r="I46" s="242"/>
      <c r="J46" s="242"/>
      <c r="K46" s="242"/>
      <c r="L46" s="242"/>
      <c r="M46" s="242"/>
      <c r="N46" s="242"/>
      <c r="O46" s="242"/>
      <c r="P46" s="242"/>
      <c r="Q46" s="242"/>
      <c r="R46" s="242"/>
      <c r="S46" s="243" t="s">
        <v>47</v>
      </c>
      <c r="T46" s="243"/>
      <c r="U46" s="243"/>
      <c r="V46" s="243"/>
      <c r="W46" s="243"/>
      <c r="X46" s="243"/>
      <c r="Y46" s="243"/>
      <c r="Z46" s="243"/>
      <c r="AA46" s="243"/>
      <c r="AB46" s="243"/>
      <c r="AC46" s="243"/>
      <c r="AD46" s="243"/>
      <c r="AE46" s="243"/>
      <c r="AF46" s="243"/>
      <c r="AG46" s="243"/>
      <c r="AH46" s="243"/>
      <c r="AI46" s="37"/>
    </row>
    <row r="47" spans="1:35" s="9" customFormat="1" ht="28.35" customHeight="1">
      <c r="A47" s="11"/>
      <c r="B47" s="244" t="s">
        <v>42</v>
      </c>
      <c r="C47" s="244"/>
      <c r="D47" s="244"/>
      <c r="E47" s="244"/>
      <c r="F47" s="244"/>
      <c r="G47" s="244"/>
      <c r="H47" s="244"/>
      <c r="I47" s="244"/>
      <c r="J47" s="244"/>
      <c r="K47" s="244"/>
      <c r="L47" s="244"/>
      <c r="M47" s="244"/>
      <c r="N47" s="244"/>
      <c r="O47" s="244"/>
      <c r="P47" s="244"/>
      <c r="Q47" s="244"/>
      <c r="R47" s="244"/>
      <c r="S47" s="244" t="s">
        <v>42</v>
      </c>
      <c r="T47" s="244"/>
      <c r="U47" s="244"/>
      <c r="V47" s="244"/>
      <c r="W47" s="244"/>
      <c r="X47" s="244"/>
      <c r="Y47" s="244"/>
      <c r="Z47" s="244"/>
      <c r="AA47" s="244"/>
      <c r="AB47" s="244"/>
      <c r="AC47" s="244"/>
      <c r="AD47" s="244"/>
      <c r="AE47" s="244"/>
      <c r="AF47" s="244"/>
      <c r="AG47" s="244"/>
      <c r="AH47" s="244"/>
      <c r="AI47" s="37"/>
    </row>
    <row r="48" spans="1:35" s="18" customFormat="1" ht="28.35" customHeight="1">
      <c r="A48" s="25"/>
      <c r="B48" s="97" t="s">
        <v>30</v>
      </c>
      <c r="C48" s="98"/>
      <c r="D48" s="99"/>
      <c r="E48" s="99"/>
      <c r="F48" s="99"/>
      <c r="G48" s="46"/>
      <c r="H48" s="46"/>
      <c r="I48" s="100"/>
      <c r="J48" s="100"/>
      <c r="K48" s="101"/>
      <c r="L48" s="45"/>
      <c r="M48" s="100"/>
      <c r="N48" s="46"/>
      <c r="O48" s="41"/>
      <c r="P48" s="46"/>
      <c r="Q48" s="46"/>
      <c r="R48" s="41"/>
      <c r="S48" s="41"/>
      <c r="T48" s="41"/>
      <c r="U48" s="41"/>
      <c r="V48" s="41"/>
      <c r="W48" s="42"/>
      <c r="X48" s="43"/>
      <c r="Y48" s="44"/>
      <c r="Z48" s="45"/>
      <c r="AA48" s="41"/>
      <c r="AB48" s="41"/>
      <c r="AC48" s="46"/>
      <c r="AD48" s="47"/>
      <c r="AE48" s="41"/>
      <c r="AF48" s="48"/>
      <c r="AG48" s="49" t="s">
        <v>28</v>
      </c>
      <c r="AH48" s="41"/>
    </row>
    <row r="49" spans="1:35" s="19" customFormat="1" ht="3.95" customHeight="1">
      <c r="A49" s="26"/>
      <c r="B49" s="136"/>
      <c r="C49" s="136"/>
      <c r="D49" s="137"/>
      <c r="E49" s="137"/>
      <c r="F49" s="137"/>
      <c r="G49" s="138"/>
      <c r="H49" s="138"/>
      <c r="I49" s="139"/>
      <c r="J49" s="139"/>
      <c r="K49" s="140"/>
      <c r="L49" s="141"/>
      <c r="M49" s="139"/>
      <c r="N49" s="138"/>
      <c r="O49" s="41"/>
      <c r="P49" s="138"/>
      <c r="Q49" s="138"/>
      <c r="R49" s="142"/>
      <c r="S49" s="142"/>
      <c r="T49" s="142"/>
      <c r="U49" s="142"/>
      <c r="V49" s="142"/>
      <c r="W49" s="143"/>
      <c r="X49" s="144"/>
      <c r="Y49" s="145"/>
      <c r="Z49" s="141"/>
      <c r="AA49" s="142"/>
      <c r="AB49" s="142"/>
      <c r="AC49" s="138"/>
      <c r="AD49" s="146"/>
      <c r="AE49" s="142"/>
      <c r="AF49" s="147"/>
      <c r="AG49" s="148"/>
      <c r="AH49" s="41"/>
    </row>
    <row r="50" spans="1:35" s="20" customFormat="1" ht="21.75" customHeight="1">
      <c r="A50" s="40"/>
      <c r="B50" s="245" t="s">
        <v>13</v>
      </c>
      <c r="C50" s="246"/>
      <c r="D50" s="247"/>
      <c r="E50" s="250" t="s">
        <v>38</v>
      </c>
      <c r="F50" s="251"/>
      <c r="G50" s="250" t="s">
        <v>39</v>
      </c>
      <c r="H50" s="252"/>
      <c r="I50" s="252"/>
      <c r="J50" s="252"/>
      <c r="K50" s="252"/>
      <c r="L50" s="252"/>
      <c r="M50" s="252"/>
      <c r="N50" s="252"/>
      <c r="O50" s="252"/>
      <c r="P50" s="252"/>
      <c r="Q50" s="252"/>
      <c r="R50" s="252"/>
      <c r="S50" s="250" t="s">
        <v>31</v>
      </c>
      <c r="T50" s="250"/>
      <c r="U50" s="250"/>
      <c r="V50" s="250"/>
      <c r="W50" s="250"/>
      <c r="X50" s="250"/>
      <c r="Y50" s="250"/>
      <c r="Z50" s="250"/>
      <c r="AA50" s="250"/>
      <c r="AB50" s="250"/>
      <c r="AC50" s="250"/>
      <c r="AD50" s="250"/>
      <c r="AE50" s="55"/>
      <c r="AF50" s="253" t="s">
        <v>12</v>
      </c>
      <c r="AG50" s="246"/>
      <c r="AH50" s="254"/>
    </row>
    <row r="51" spans="1:35" s="20" customFormat="1" ht="22.5" customHeight="1">
      <c r="A51" s="27"/>
      <c r="B51" s="248"/>
      <c r="C51" s="249"/>
      <c r="D51" s="240"/>
      <c r="E51" s="257" t="s">
        <v>48</v>
      </c>
      <c r="F51" s="258"/>
      <c r="G51" s="149" t="s">
        <v>24</v>
      </c>
      <c r="H51" s="149"/>
      <c r="I51" s="149"/>
      <c r="J51" s="149"/>
      <c r="K51" s="233" t="s">
        <v>49</v>
      </c>
      <c r="L51" s="233"/>
      <c r="M51" s="233"/>
      <c r="N51" s="233"/>
      <c r="O51" s="234" t="s">
        <v>50</v>
      </c>
      <c r="P51" s="234"/>
      <c r="Q51" s="234"/>
      <c r="R51" s="235"/>
      <c r="S51" s="236" t="s">
        <v>51</v>
      </c>
      <c r="T51" s="234"/>
      <c r="U51" s="234"/>
      <c r="V51" s="234"/>
      <c r="W51" s="150" t="s">
        <v>26</v>
      </c>
      <c r="X51" s="150"/>
      <c r="Y51" s="150"/>
      <c r="Z51" s="150"/>
      <c r="AA51" s="150" t="s">
        <v>52</v>
      </c>
      <c r="AB51" s="150"/>
      <c r="AC51" s="150"/>
      <c r="AD51" s="149"/>
      <c r="AE51" s="151" t="s">
        <v>3</v>
      </c>
      <c r="AF51" s="255"/>
      <c r="AG51" s="249"/>
      <c r="AH51" s="256"/>
    </row>
    <row r="52" spans="1:35" ht="38.25" customHeight="1">
      <c r="B52" s="248"/>
      <c r="C52" s="249"/>
      <c r="D52" s="240"/>
      <c r="E52" s="152"/>
      <c r="F52" s="152"/>
      <c r="G52" s="153" t="s">
        <v>4</v>
      </c>
      <c r="H52" s="153"/>
      <c r="I52" s="153"/>
      <c r="J52" s="153"/>
      <c r="K52" s="237" t="s">
        <v>53</v>
      </c>
      <c r="L52" s="237"/>
      <c r="M52" s="237"/>
      <c r="N52" s="237"/>
      <c r="O52" s="238" t="s">
        <v>54</v>
      </c>
      <c r="P52" s="238"/>
      <c r="Q52" s="238"/>
      <c r="R52" s="239"/>
      <c r="S52" s="240" t="s">
        <v>55</v>
      </c>
      <c r="T52" s="241"/>
      <c r="U52" s="241"/>
      <c r="V52" s="241"/>
      <c r="W52" s="118" t="s">
        <v>8</v>
      </c>
      <c r="X52" s="118"/>
      <c r="Y52" s="118"/>
      <c r="Z52" s="118"/>
      <c r="AA52" s="118" t="s">
        <v>9</v>
      </c>
      <c r="AB52" s="118"/>
      <c r="AC52" s="118"/>
      <c r="AD52" s="153"/>
      <c r="AE52" s="154"/>
      <c r="AF52" s="255"/>
      <c r="AG52" s="249"/>
      <c r="AH52" s="256"/>
      <c r="AI52" s="9"/>
    </row>
    <row r="53" spans="1:35" ht="39.75" customHeight="1">
      <c r="B53" s="248"/>
      <c r="C53" s="249"/>
      <c r="D53" s="240"/>
      <c r="E53" s="132"/>
      <c r="F53" s="80"/>
      <c r="G53" s="109"/>
      <c r="H53" s="112"/>
      <c r="I53" s="112"/>
      <c r="J53" s="111"/>
      <c r="K53" s="109"/>
      <c r="L53" s="112"/>
      <c r="M53" s="112"/>
      <c r="N53" s="111"/>
      <c r="O53" s="155"/>
      <c r="P53" s="112"/>
      <c r="Q53" s="112"/>
      <c r="R53" s="112"/>
      <c r="S53" s="112"/>
      <c r="T53" s="112"/>
      <c r="U53" s="112"/>
      <c r="V53" s="112"/>
      <c r="W53" s="155"/>
      <c r="X53" s="112"/>
      <c r="Y53" s="112"/>
      <c r="Z53" s="156"/>
      <c r="AA53" s="155"/>
      <c r="AB53" s="112"/>
      <c r="AC53" s="112"/>
      <c r="AD53" s="156"/>
      <c r="AE53" s="154" t="s">
        <v>10</v>
      </c>
      <c r="AF53" s="255"/>
      <c r="AG53" s="249"/>
      <c r="AH53" s="256"/>
      <c r="AI53" s="9"/>
    </row>
    <row r="54" spans="1:35" ht="29.25" customHeight="1">
      <c r="B54" s="223" t="s">
        <v>16</v>
      </c>
      <c r="C54" s="224"/>
      <c r="D54" s="225"/>
      <c r="E54" s="132" t="s">
        <v>33</v>
      </c>
      <c r="F54" s="80" t="s">
        <v>32</v>
      </c>
      <c r="G54" s="157"/>
      <c r="H54" s="158"/>
      <c r="I54" s="158"/>
      <c r="J54" s="159"/>
      <c r="K54" s="158"/>
      <c r="L54" s="158"/>
      <c r="M54" s="158"/>
      <c r="N54" s="160"/>
      <c r="O54" s="161"/>
      <c r="P54" s="161"/>
      <c r="Q54" s="161"/>
      <c r="R54" s="162"/>
      <c r="S54" s="163"/>
      <c r="T54" s="161"/>
      <c r="U54" s="161"/>
      <c r="V54" s="164" t="s">
        <v>3</v>
      </c>
      <c r="W54" s="164"/>
      <c r="X54" s="164"/>
      <c r="Y54" s="164"/>
      <c r="Z54" s="160" t="s">
        <v>3</v>
      </c>
      <c r="AA54" s="165" t="s">
        <v>3</v>
      </c>
      <c r="AB54" s="160"/>
      <c r="AC54" s="165"/>
      <c r="AD54" s="160" t="s">
        <v>3</v>
      </c>
      <c r="AE54" s="166" t="s">
        <v>11</v>
      </c>
      <c r="AF54" s="229" t="s">
        <v>15</v>
      </c>
      <c r="AG54" s="224"/>
      <c r="AH54" s="230"/>
      <c r="AI54" s="9"/>
    </row>
    <row r="55" spans="1:35" s="9" customFormat="1" ht="28.5" customHeight="1">
      <c r="A55" s="11"/>
      <c r="B55" s="223"/>
      <c r="C55" s="224"/>
      <c r="D55" s="225"/>
      <c r="E55" s="132"/>
      <c r="F55" s="80"/>
      <c r="G55" s="167" t="s">
        <v>3</v>
      </c>
      <c r="H55" s="168" t="s">
        <v>3</v>
      </c>
      <c r="I55" s="168" t="s">
        <v>14</v>
      </c>
      <c r="J55" s="169"/>
      <c r="K55" s="168" t="s">
        <v>3</v>
      </c>
      <c r="L55" s="168" t="s">
        <v>3</v>
      </c>
      <c r="M55" s="168" t="s">
        <v>14</v>
      </c>
      <c r="N55" s="170"/>
      <c r="O55" s="171" t="s">
        <v>3</v>
      </c>
      <c r="P55" s="171" t="s">
        <v>3</v>
      </c>
      <c r="Q55" s="171" t="s">
        <v>14</v>
      </c>
      <c r="R55" s="172" t="s">
        <v>10</v>
      </c>
      <c r="S55" s="173" t="s">
        <v>3</v>
      </c>
      <c r="T55" s="171" t="s">
        <v>3</v>
      </c>
      <c r="U55" s="171" t="s">
        <v>14</v>
      </c>
      <c r="V55" s="170"/>
      <c r="W55" s="171" t="s">
        <v>3</v>
      </c>
      <c r="X55" s="171" t="s">
        <v>3</v>
      </c>
      <c r="Y55" s="171" t="s">
        <v>14</v>
      </c>
      <c r="Z55" s="171"/>
      <c r="AA55" s="171" t="s">
        <v>3</v>
      </c>
      <c r="AB55" s="171" t="s">
        <v>3</v>
      </c>
      <c r="AC55" s="171" t="s">
        <v>14</v>
      </c>
      <c r="AD55" s="171"/>
      <c r="AE55" s="166" t="s">
        <v>3</v>
      </c>
      <c r="AF55" s="229"/>
      <c r="AG55" s="224"/>
      <c r="AH55" s="230"/>
    </row>
    <row r="56" spans="1:35" ht="22.5" customHeight="1">
      <c r="B56" s="223"/>
      <c r="C56" s="224"/>
      <c r="D56" s="225"/>
      <c r="E56" s="132" t="s">
        <v>35</v>
      </c>
      <c r="F56" s="80"/>
      <c r="G56" s="171" t="s">
        <v>45</v>
      </c>
      <c r="H56" s="168" t="s">
        <v>17</v>
      </c>
      <c r="I56" s="168" t="s">
        <v>18</v>
      </c>
      <c r="J56" s="168" t="s">
        <v>10</v>
      </c>
      <c r="K56" s="171" t="s">
        <v>45</v>
      </c>
      <c r="L56" s="168" t="s">
        <v>17</v>
      </c>
      <c r="M56" s="168" t="s">
        <v>18</v>
      </c>
      <c r="N56" s="171" t="s">
        <v>10</v>
      </c>
      <c r="O56" s="171" t="s">
        <v>45</v>
      </c>
      <c r="P56" s="171" t="s">
        <v>17</v>
      </c>
      <c r="Q56" s="171" t="s">
        <v>18</v>
      </c>
      <c r="R56" s="172"/>
      <c r="S56" s="173" t="s">
        <v>45</v>
      </c>
      <c r="T56" s="171" t="s">
        <v>17</v>
      </c>
      <c r="U56" s="171" t="s">
        <v>18</v>
      </c>
      <c r="V56" s="171" t="s">
        <v>10</v>
      </c>
      <c r="W56" s="171" t="s">
        <v>45</v>
      </c>
      <c r="X56" s="171" t="s">
        <v>17</v>
      </c>
      <c r="Y56" s="171" t="s">
        <v>18</v>
      </c>
      <c r="Z56" s="171" t="s">
        <v>10</v>
      </c>
      <c r="AA56" s="171" t="s">
        <v>45</v>
      </c>
      <c r="AB56" s="171" t="s">
        <v>17</v>
      </c>
      <c r="AC56" s="171" t="s">
        <v>18</v>
      </c>
      <c r="AD56" s="171" t="s">
        <v>10</v>
      </c>
      <c r="AE56" s="166" t="s">
        <v>19</v>
      </c>
      <c r="AF56" s="229"/>
      <c r="AG56" s="224"/>
      <c r="AH56" s="230"/>
      <c r="AI56" s="9"/>
    </row>
    <row r="57" spans="1:35" ht="22.5" customHeight="1">
      <c r="A57" s="10"/>
      <c r="B57" s="226"/>
      <c r="C57" s="227"/>
      <c r="D57" s="228"/>
      <c r="E57" s="174" t="s">
        <v>34</v>
      </c>
      <c r="F57" s="119" t="s">
        <v>36</v>
      </c>
      <c r="G57" s="175" t="s">
        <v>20</v>
      </c>
      <c r="H57" s="176" t="s">
        <v>21</v>
      </c>
      <c r="I57" s="176" t="s">
        <v>22</v>
      </c>
      <c r="J57" s="176" t="s">
        <v>23</v>
      </c>
      <c r="K57" s="176" t="s">
        <v>20</v>
      </c>
      <c r="L57" s="176" t="s">
        <v>21</v>
      </c>
      <c r="M57" s="176" t="s">
        <v>22</v>
      </c>
      <c r="N57" s="176" t="s">
        <v>23</v>
      </c>
      <c r="O57" s="176" t="s">
        <v>20</v>
      </c>
      <c r="P57" s="176" t="s">
        <v>21</v>
      </c>
      <c r="Q57" s="176" t="s">
        <v>22</v>
      </c>
      <c r="R57" s="177" t="s">
        <v>23</v>
      </c>
      <c r="S57" s="178" t="s">
        <v>20</v>
      </c>
      <c r="T57" s="176" t="s">
        <v>21</v>
      </c>
      <c r="U57" s="176" t="s">
        <v>22</v>
      </c>
      <c r="V57" s="176" t="s">
        <v>23</v>
      </c>
      <c r="W57" s="176" t="s">
        <v>20</v>
      </c>
      <c r="X57" s="176" t="s">
        <v>21</v>
      </c>
      <c r="Y57" s="176" t="s">
        <v>22</v>
      </c>
      <c r="Z57" s="176" t="s">
        <v>23</v>
      </c>
      <c r="AA57" s="176" t="s">
        <v>20</v>
      </c>
      <c r="AB57" s="176" t="s">
        <v>21</v>
      </c>
      <c r="AC57" s="176" t="s">
        <v>22</v>
      </c>
      <c r="AD57" s="176" t="s">
        <v>23</v>
      </c>
      <c r="AE57" s="179" t="s">
        <v>23</v>
      </c>
      <c r="AF57" s="231"/>
      <c r="AG57" s="227"/>
      <c r="AH57" s="232"/>
      <c r="AI57" s="9"/>
    </row>
    <row r="58" spans="1:35" ht="39.75" customHeight="1">
      <c r="A58" s="10"/>
      <c r="B58" s="180"/>
      <c r="C58" s="133" t="s">
        <v>56</v>
      </c>
      <c r="D58" s="181"/>
      <c r="E58" s="124">
        <v>1819.9</v>
      </c>
      <c r="F58" s="125">
        <v>3119.5</v>
      </c>
      <c r="G58" s="87">
        <v>993.5</v>
      </c>
      <c r="H58" s="87">
        <v>114.1</v>
      </c>
      <c r="I58" s="87">
        <v>227.4</v>
      </c>
      <c r="J58" s="87">
        <f t="shared" ref="J58:J76" si="8">SUM(I58+H58+G58)</f>
        <v>1335</v>
      </c>
      <c r="K58" s="87">
        <f>42.6+101.4</f>
        <v>144</v>
      </c>
      <c r="L58" s="87">
        <v>0.1</v>
      </c>
      <c r="M58" s="87">
        <f>27.1+9.7</f>
        <v>36.799999999999997</v>
      </c>
      <c r="N58" s="86">
        <f>SUM(M58+L58+K58)</f>
        <v>180.9</v>
      </c>
      <c r="O58" s="87">
        <v>34.700000000000003</v>
      </c>
      <c r="P58" s="87">
        <v>0.6</v>
      </c>
      <c r="Q58" s="87">
        <v>5.7</v>
      </c>
      <c r="R58" s="86">
        <f t="shared" ref="R58:R76" si="9">SUM(O58:Q58)</f>
        <v>41.000000000000007</v>
      </c>
      <c r="S58" s="86">
        <v>25.7</v>
      </c>
      <c r="T58" s="86">
        <v>6.0000000000000001E-3</v>
      </c>
      <c r="U58" s="86">
        <v>7.6</v>
      </c>
      <c r="V58" s="86">
        <f t="shared" ref="V58:V76" si="10">SUM(S58:U58)</f>
        <v>33.305999999999997</v>
      </c>
      <c r="W58" s="87">
        <v>266.89999999999998</v>
      </c>
      <c r="X58" s="87">
        <v>0.5</v>
      </c>
      <c r="Y58" s="87">
        <v>54.2</v>
      </c>
      <c r="Z58" s="86">
        <f t="shared" ref="Z58:Z76" si="11">SUM(W58:Y58)</f>
        <v>321.59999999999997</v>
      </c>
      <c r="AA58" s="86">
        <v>1738.9</v>
      </c>
      <c r="AB58" s="86">
        <v>588.20000000000005</v>
      </c>
      <c r="AC58" s="86">
        <v>700.5</v>
      </c>
      <c r="AD58" s="86">
        <f t="shared" ref="AD58:AD76" si="12">SUM(AA58:AC58)</f>
        <v>3027.6000000000004</v>
      </c>
      <c r="AE58" s="88">
        <f t="shared" ref="AE58:AE76" si="13">SUM(AD58+Z58+V58+R58+N58+J58)</f>
        <v>4939.4060000000009</v>
      </c>
      <c r="AF58" s="181"/>
      <c r="AG58" s="182" t="s">
        <v>57</v>
      </c>
      <c r="AH58" s="183"/>
      <c r="AI58" s="9"/>
    </row>
    <row r="59" spans="1:35" ht="39.75" customHeight="1">
      <c r="A59" s="10"/>
      <c r="B59" s="184"/>
      <c r="C59" s="134">
        <v>1994</v>
      </c>
      <c r="D59" s="185"/>
      <c r="E59" s="186">
        <v>1995.4</v>
      </c>
      <c r="F59" s="187">
        <v>3396.1</v>
      </c>
      <c r="G59" s="123">
        <v>1127.4000000000001</v>
      </c>
      <c r="H59" s="123">
        <v>117</v>
      </c>
      <c r="I59" s="123">
        <v>199</v>
      </c>
      <c r="J59" s="123">
        <f t="shared" si="8"/>
        <v>1443.4</v>
      </c>
      <c r="K59" s="123">
        <f>39.7+107.9</f>
        <v>147.60000000000002</v>
      </c>
      <c r="L59" s="123">
        <v>0.2</v>
      </c>
      <c r="M59" s="123">
        <f>31.3+9.8</f>
        <v>41.1</v>
      </c>
      <c r="N59" s="123">
        <f>SUM(M59+L59+K59)</f>
        <v>188.90000000000003</v>
      </c>
      <c r="O59" s="123">
        <v>31.7</v>
      </c>
      <c r="P59" s="123">
        <v>0.9</v>
      </c>
      <c r="Q59" s="123">
        <v>6.4</v>
      </c>
      <c r="R59" s="123">
        <f t="shared" si="9"/>
        <v>39</v>
      </c>
      <c r="S59" s="123">
        <v>11.5</v>
      </c>
      <c r="T59" s="123">
        <v>6.0000000000000001E-3</v>
      </c>
      <c r="U59" s="123">
        <v>6.2</v>
      </c>
      <c r="V59" s="123">
        <f t="shared" si="10"/>
        <v>17.706</v>
      </c>
      <c r="W59" s="123">
        <v>363.3</v>
      </c>
      <c r="X59" s="123">
        <v>1.3</v>
      </c>
      <c r="Y59" s="123">
        <v>37.700000000000003</v>
      </c>
      <c r="Z59" s="123">
        <f t="shared" si="11"/>
        <v>402.3</v>
      </c>
      <c r="AA59" s="123">
        <v>1943.3</v>
      </c>
      <c r="AB59" s="123">
        <v>636.29999999999995</v>
      </c>
      <c r="AC59" s="123">
        <v>720.6</v>
      </c>
      <c r="AD59" s="123">
        <f t="shared" si="12"/>
        <v>3300.2</v>
      </c>
      <c r="AE59" s="188">
        <f t="shared" si="13"/>
        <v>5391.5060000000003</v>
      </c>
      <c r="AF59" s="185"/>
      <c r="AG59" s="134">
        <v>1994</v>
      </c>
      <c r="AH59" s="189"/>
      <c r="AI59" s="9"/>
    </row>
    <row r="60" spans="1:35" s="9" customFormat="1" ht="39.75" customHeight="1">
      <c r="B60" s="180"/>
      <c r="C60" s="133">
        <v>1995</v>
      </c>
      <c r="D60" s="181"/>
      <c r="E60" s="124">
        <v>2277.9</v>
      </c>
      <c r="F60" s="125">
        <v>3509.6</v>
      </c>
      <c r="G60" s="87">
        <v>1212.2</v>
      </c>
      <c r="H60" s="87">
        <v>117.8</v>
      </c>
      <c r="I60" s="87">
        <v>201.5</v>
      </c>
      <c r="J60" s="87">
        <f t="shared" si="8"/>
        <v>1531.5</v>
      </c>
      <c r="K60" s="87">
        <f>39.9+101.2</f>
        <v>141.1</v>
      </c>
      <c r="L60" s="87">
        <v>0.4</v>
      </c>
      <c r="M60" s="87">
        <f>31.4+8.4</f>
        <v>39.799999999999997</v>
      </c>
      <c r="N60" s="87">
        <f>SUM(M60+L60+K60)</f>
        <v>181.29999999999998</v>
      </c>
      <c r="O60" s="87">
        <v>36.9</v>
      </c>
      <c r="P60" s="87">
        <v>0.3</v>
      </c>
      <c r="Q60" s="87">
        <v>4.9000000000000004</v>
      </c>
      <c r="R60" s="87">
        <f t="shared" si="9"/>
        <v>42.099999999999994</v>
      </c>
      <c r="S60" s="87">
        <v>12.7</v>
      </c>
      <c r="T60" s="87">
        <v>0.1</v>
      </c>
      <c r="U60" s="87">
        <v>8.5</v>
      </c>
      <c r="V60" s="87">
        <f t="shared" si="10"/>
        <v>21.299999999999997</v>
      </c>
      <c r="W60" s="87">
        <v>428.6</v>
      </c>
      <c r="X60" s="87">
        <v>0.3</v>
      </c>
      <c r="Y60" s="87">
        <v>44.4</v>
      </c>
      <c r="Z60" s="87">
        <f t="shared" si="11"/>
        <v>473.3</v>
      </c>
      <c r="AA60" s="87">
        <v>2133.3000000000002</v>
      </c>
      <c r="AB60" s="87">
        <v>684.7</v>
      </c>
      <c r="AC60" s="87">
        <v>720</v>
      </c>
      <c r="AD60" s="87">
        <f t="shared" si="12"/>
        <v>3538</v>
      </c>
      <c r="AE60" s="88">
        <f t="shared" si="13"/>
        <v>5787.5</v>
      </c>
      <c r="AF60" s="181"/>
      <c r="AG60" s="133">
        <v>1995</v>
      </c>
      <c r="AH60" s="183"/>
    </row>
    <row r="61" spans="1:35" s="34" customFormat="1" ht="39.75" customHeight="1">
      <c r="A61" s="33"/>
      <c r="B61" s="184"/>
      <c r="C61" s="134">
        <v>1996</v>
      </c>
      <c r="D61" s="185"/>
      <c r="E61" s="186">
        <v>2352.5</v>
      </c>
      <c r="F61" s="187">
        <v>3636.3</v>
      </c>
      <c r="G61" s="123">
        <v>1250.2</v>
      </c>
      <c r="H61" s="123">
        <v>116.5</v>
      </c>
      <c r="I61" s="123">
        <v>199.7</v>
      </c>
      <c r="J61" s="123">
        <f t="shared" si="8"/>
        <v>1566.4</v>
      </c>
      <c r="K61" s="123">
        <f>65.4+100.1</f>
        <v>165.5</v>
      </c>
      <c r="L61" s="123">
        <v>0.2</v>
      </c>
      <c r="M61" s="123">
        <f>31+9</f>
        <v>40</v>
      </c>
      <c r="N61" s="123">
        <f t="shared" ref="N61:N76" si="14">SUM(M61+L61+K61)</f>
        <v>205.7</v>
      </c>
      <c r="O61" s="123">
        <v>46.1</v>
      </c>
      <c r="P61" s="123">
        <v>0.3</v>
      </c>
      <c r="Q61" s="123">
        <v>4.9000000000000004</v>
      </c>
      <c r="R61" s="123">
        <f t="shared" si="9"/>
        <v>51.3</v>
      </c>
      <c r="S61" s="123">
        <v>19.5</v>
      </c>
      <c r="T61" s="123">
        <v>0</v>
      </c>
      <c r="U61" s="123">
        <v>5.0999999999999996</v>
      </c>
      <c r="V61" s="123">
        <f t="shared" si="10"/>
        <v>24.6</v>
      </c>
      <c r="W61" s="123">
        <v>488.7</v>
      </c>
      <c r="X61" s="123">
        <v>0.1</v>
      </c>
      <c r="Y61" s="123">
        <v>32.799999999999997</v>
      </c>
      <c r="Z61" s="123">
        <f t="shared" si="11"/>
        <v>521.6</v>
      </c>
      <c r="AA61" s="123">
        <v>2311</v>
      </c>
      <c r="AB61" s="123">
        <v>665.1</v>
      </c>
      <c r="AC61" s="123">
        <v>643.1</v>
      </c>
      <c r="AD61" s="123">
        <f t="shared" si="12"/>
        <v>3619.2</v>
      </c>
      <c r="AE61" s="188">
        <f t="shared" si="13"/>
        <v>5988.8000000000011</v>
      </c>
      <c r="AF61" s="185"/>
      <c r="AG61" s="134">
        <v>1996</v>
      </c>
      <c r="AH61" s="189"/>
      <c r="AI61" s="36"/>
    </row>
    <row r="62" spans="1:35" ht="39.75" customHeight="1">
      <c r="A62" s="33"/>
      <c r="B62" s="180"/>
      <c r="C62" s="133">
        <v>1997</v>
      </c>
      <c r="D62" s="181"/>
      <c r="E62" s="124">
        <v>2311.1999999999998</v>
      </c>
      <c r="F62" s="125">
        <v>4076.7</v>
      </c>
      <c r="G62" s="87">
        <v>1222.7</v>
      </c>
      <c r="H62" s="87">
        <v>114.3</v>
      </c>
      <c r="I62" s="87">
        <v>209.1</v>
      </c>
      <c r="J62" s="87">
        <f t="shared" si="8"/>
        <v>1546.1</v>
      </c>
      <c r="K62" s="87">
        <f>94.8+105.2</f>
        <v>200</v>
      </c>
      <c r="L62" s="87">
        <f>0.2</f>
        <v>0.2</v>
      </c>
      <c r="M62" s="87">
        <f>65.5+13.3</f>
        <v>78.8</v>
      </c>
      <c r="N62" s="87">
        <f t="shared" si="14"/>
        <v>279</v>
      </c>
      <c r="O62" s="87">
        <v>51.6</v>
      </c>
      <c r="P62" s="87">
        <v>0.2</v>
      </c>
      <c r="Q62" s="87">
        <v>4.7</v>
      </c>
      <c r="R62" s="87">
        <f t="shared" si="9"/>
        <v>56.500000000000007</v>
      </c>
      <c r="S62" s="87">
        <v>20</v>
      </c>
      <c r="T62" s="87">
        <v>0</v>
      </c>
      <c r="U62" s="87">
        <v>3.9</v>
      </c>
      <c r="V62" s="87">
        <f t="shared" si="10"/>
        <v>23.9</v>
      </c>
      <c r="W62" s="87">
        <f>57.4+451.4</f>
        <v>508.79999999999995</v>
      </c>
      <c r="X62" s="87">
        <v>0.3</v>
      </c>
      <c r="Y62" s="87">
        <f>36.8+6</f>
        <v>42.8</v>
      </c>
      <c r="Z62" s="87">
        <f t="shared" si="11"/>
        <v>551.9</v>
      </c>
      <c r="AA62" s="87">
        <v>2559.8000000000002</v>
      </c>
      <c r="AB62" s="87">
        <v>672</v>
      </c>
      <c r="AC62" s="87">
        <v>698.7</v>
      </c>
      <c r="AD62" s="87">
        <f t="shared" si="12"/>
        <v>3930.5</v>
      </c>
      <c r="AE62" s="88">
        <f t="shared" si="13"/>
        <v>6387.9</v>
      </c>
      <c r="AF62" s="181"/>
      <c r="AG62" s="133">
        <v>1997</v>
      </c>
      <c r="AH62" s="183"/>
      <c r="AI62" s="36"/>
    </row>
    <row r="63" spans="1:35" s="32" customFormat="1" ht="39.75" customHeight="1">
      <c r="A63" s="33"/>
      <c r="B63" s="184"/>
      <c r="C63" s="134" t="s">
        <v>58</v>
      </c>
      <c r="D63" s="185"/>
      <c r="E63" s="186">
        <v>2632.9</v>
      </c>
      <c r="F63" s="187">
        <v>4178.5</v>
      </c>
      <c r="G63" s="123">
        <v>1244.5999999999999</v>
      </c>
      <c r="H63" s="123">
        <v>119.1</v>
      </c>
      <c r="I63" s="123">
        <v>216.5</v>
      </c>
      <c r="J63" s="123">
        <f t="shared" si="8"/>
        <v>1580.1999999999998</v>
      </c>
      <c r="K63" s="123">
        <f>83.6+46.8</f>
        <v>130.39999999999998</v>
      </c>
      <c r="L63" s="123">
        <v>0.2</v>
      </c>
      <c r="M63" s="123">
        <f>35.1+16.8</f>
        <v>51.900000000000006</v>
      </c>
      <c r="N63" s="123">
        <f t="shared" si="14"/>
        <v>182.5</v>
      </c>
      <c r="O63" s="123">
        <v>29.4</v>
      </c>
      <c r="P63" s="123">
        <v>0.2</v>
      </c>
      <c r="Q63" s="123">
        <v>2</v>
      </c>
      <c r="R63" s="123">
        <f t="shared" si="9"/>
        <v>31.599999999999998</v>
      </c>
      <c r="S63" s="123">
        <v>16.600000000000001</v>
      </c>
      <c r="T63" s="123">
        <v>0</v>
      </c>
      <c r="U63" s="123">
        <v>3</v>
      </c>
      <c r="V63" s="123">
        <f t="shared" si="10"/>
        <v>19.600000000000001</v>
      </c>
      <c r="W63" s="123">
        <f>149.5+575.6</f>
        <v>725.1</v>
      </c>
      <c r="X63" s="123">
        <f>0.5</f>
        <v>0.5</v>
      </c>
      <c r="Y63" s="123">
        <f>43.7+12.6</f>
        <v>56.300000000000004</v>
      </c>
      <c r="Z63" s="123">
        <f t="shared" si="11"/>
        <v>781.9</v>
      </c>
      <c r="AA63" s="123">
        <v>2799.2</v>
      </c>
      <c r="AB63" s="123">
        <v>673.6</v>
      </c>
      <c r="AC63" s="123">
        <v>742.8</v>
      </c>
      <c r="AD63" s="123">
        <f t="shared" si="12"/>
        <v>4215.5999999999995</v>
      </c>
      <c r="AE63" s="188">
        <f t="shared" si="13"/>
        <v>6811.4</v>
      </c>
      <c r="AF63" s="185"/>
      <c r="AG63" s="190" t="s">
        <v>59</v>
      </c>
      <c r="AH63" s="189"/>
      <c r="AI63" s="36"/>
    </row>
    <row r="64" spans="1:35" s="9" customFormat="1" ht="39.75" customHeight="1">
      <c r="A64" s="33"/>
      <c r="B64" s="180"/>
      <c r="C64" s="133">
        <f>C62+2</f>
        <v>1999</v>
      </c>
      <c r="D64" s="181"/>
      <c r="E64" s="124">
        <v>2821</v>
      </c>
      <c r="F64" s="125">
        <v>4681.3999999999996</v>
      </c>
      <c r="G64" s="87">
        <v>1263.9000000000001</v>
      </c>
      <c r="H64" s="87">
        <v>125.3</v>
      </c>
      <c r="I64" s="87">
        <v>231.3</v>
      </c>
      <c r="J64" s="87">
        <f t="shared" si="8"/>
        <v>1620.5</v>
      </c>
      <c r="K64" s="87">
        <f>142.9+65.5</f>
        <v>208.4</v>
      </c>
      <c r="L64" s="87">
        <f>0.2+0.1</f>
        <v>0.30000000000000004</v>
      </c>
      <c r="M64" s="87">
        <f>36.2+18.1</f>
        <v>54.300000000000004</v>
      </c>
      <c r="N64" s="87">
        <f t="shared" si="14"/>
        <v>263</v>
      </c>
      <c r="O64" s="87">
        <v>36.200000000000003</v>
      </c>
      <c r="P64" s="87">
        <v>0.2</v>
      </c>
      <c r="Q64" s="87">
        <v>2.7</v>
      </c>
      <c r="R64" s="87">
        <f t="shared" si="9"/>
        <v>39.100000000000009</v>
      </c>
      <c r="S64" s="87">
        <v>15.6</v>
      </c>
      <c r="T64" s="87">
        <v>0</v>
      </c>
      <c r="U64" s="87">
        <v>4.5</v>
      </c>
      <c r="V64" s="87">
        <f t="shared" si="10"/>
        <v>20.100000000000001</v>
      </c>
      <c r="W64" s="87">
        <f>171.3+737.3</f>
        <v>908.59999999999991</v>
      </c>
      <c r="X64" s="87">
        <v>0</v>
      </c>
      <c r="Y64" s="87">
        <f>48.2+10.8</f>
        <v>59</v>
      </c>
      <c r="Z64" s="87">
        <f t="shared" si="11"/>
        <v>967.59999999999991</v>
      </c>
      <c r="AA64" s="87">
        <v>3117.2</v>
      </c>
      <c r="AB64" s="87">
        <v>717.9</v>
      </c>
      <c r="AC64" s="87">
        <v>757</v>
      </c>
      <c r="AD64" s="87">
        <f t="shared" si="12"/>
        <v>4592.1000000000004</v>
      </c>
      <c r="AE64" s="88">
        <f t="shared" si="13"/>
        <v>7502.4000000000015</v>
      </c>
      <c r="AF64" s="181"/>
      <c r="AG64" s="133">
        <f>AG62+2</f>
        <v>1999</v>
      </c>
      <c r="AH64" s="183"/>
      <c r="AI64" s="36"/>
    </row>
    <row r="65" spans="1:36" s="32" customFormat="1" ht="39.75" customHeight="1">
      <c r="A65" s="33"/>
      <c r="B65" s="184"/>
      <c r="C65" s="134">
        <f>C64+1</f>
        <v>2000</v>
      </c>
      <c r="D65" s="185"/>
      <c r="E65" s="186">
        <v>3224.3</v>
      </c>
      <c r="F65" s="187">
        <v>5000.2</v>
      </c>
      <c r="G65" s="123">
        <v>1314.5</v>
      </c>
      <c r="H65" s="123">
        <v>129.5</v>
      </c>
      <c r="I65" s="123">
        <v>291.7</v>
      </c>
      <c r="J65" s="123">
        <f t="shared" si="8"/>
        <v>1735.7</v>
      </c>
      <c r="K65" s="123">
        <f>156.9+89.2</f>
        <v>246.10000000000002</v>
      </c>
      <c r="L65" s="123">
        <f>0.1</f>
        <v>0.1</v>
      </c>
      <c r="M65" s="123">
        <f>42.8+27.7</f>
        <v>70.5</v>
      </c>
      <c r="N65" s="123">
        <f t="shared" si="14"/>
        <v>316.70000000000005</v>
      </c>
      <c r="O65" s="123">
        <v>54.2</v>
      </c>
      <c r="P65" s="123">
        <v>0.2</v>
      </c>
      <c r="Q65" s="123">
        <v>4.5999999999999996</v>
      </c>
      <c r="R65" s="123">
        <f t="shared" si="9"/>
        <v>59.000000000000007</v>
      </c>
      <c r="S65" s="123">
        <v>11</v>
      </c>
      <c r="T65" s="123">
        <v>0</v>
      </c>
      <c r="U65" s="123">
        <v>3.4</v>
      </c>
      <c r="V65" s="123">
        <f t="shared" si="10"/>
        <v>14.4</v>
      </c>
      <c r="W65" s="123">
        <f>224.5+736.8</f>
        <v>961.3</v>
      </c>
      <c r="X65" s="123">
        <v>0</v>
      </c>
      <c r="Y65" s="123">
        <f>53.1+9.3</f>
        <v>62.400000000000006</v>
      </c>
      <c r="Z65" s="123">
        <f t="shared" si="11"/>
        <v>1023.6999999999999</v>
      </c>
      <c r="AA65" s="123">
        <v>3352.9</v>
      </c>
      <c r="AB65" s="123">
        <v>841</v>
      </c>
      <c r="AC65" s="123">
        <v>881.1</v>
      </c>
      <c r="AD65" s="123">
        <f t="shared" si="12"/>
        <v>5075</v>
      </c>
      <c r="AE65" s="188">
        <f t="shared" si="13"/>
        <v>8224.5</v>
      </c>
      <c r="AF65" s="185"/>
      <c r="AG65" s="134">
        <f>AG64+1</f>
        <v>2000</v>
      </c>
      <c r="AH65" s="189"/>
      <c r="AI65" s="36"/>
    </row>
    <row r="66" spans="1:36" s="9" customFormat="1" ht="39.75" customHeight="1">
      <c r="A66" s="33"/>
      <c r="B66" s="180"/>
      <c r="C66" s="133">
        <f>C65+1</f>
        <v>2001</v>
      </c>
      <c r="D66" s="181"/>
      <c r="E66" s="124">
        <v>3517.6</v>
      </c>
      <c r="F66" s="125">
        <v>5203.7</v>
      </c>
      <c r="G66" s="87">
        <v>1353.9</v>
      </c>
      <c r="H66" s="87">
        <v>139</v>
      </c>
      <c r="I66" s="87">
        <v>305.3</v>
      </c>
      <c r="J66" s="87">
        <f t="shared" si="8"/>
        <v>1798.2</v>
      </c>
      <c r="K66" s="87">
        <f>153.7+61.2</f>
        <v>214.89999999999998</v>
      </c>
      <c r="L66" s="87">
        <v>0.5</v>
      </c>
      <c r="M66" s="87">
        <f>43.8+26</f>
        <v>69.8</v>
      </c>
      <c r="N66" s="87">
        <f t="shared" si="14"/>
        <v>285.2</v>
      </c>
      <c r="O66" s="87">
        <v>66</v>
      </c>
      <c r="P66" s="87">
        <v>0.1</v>
      </c>
      <c r="Q66" s="87">
        <v>4.5</v>
      </c>
      <c r="R66" s="87">
        <f t="shared" si="9"/>
        <v>70.599999999999994</v>
      </c>
      <c r="S66" s="87">
        <v>9.4</v>
      </c>
      <c r="T66" s="87">
        <v>0</v>
      </c>
      <c r="U66" s="87">
        <v>2.2999999999999998</v>
      </c>
      <c r="V66" s="87">
        <f t="shared" si="10"/>
        <v>11.7</v>
      </c>
      <c r="W66" s="87">
        <f>174+761.4</f>
        <v>935.4</v>
      </c>
      <c r="X66" s="87">
        <v>0.3</v>
      </c>
      <c r="Y66" s="87">
        <f>85.7+24.9</f>
        <v>110.6</v>
      </c>
      <c r="Z66" s="87">
        <f t="shared" si="11"/>
        <v>1046.3</v>
      </c>
      <c r="AA66" s="87">
        <v>3545.2</v>
      </c>
      <c r="AB66" s="87">
        <v>927.3</v>
      </c>
      <c r="AC66" s="87">
        <v>1036.8</v>
      </c>
      <c r="AD66" s="87">
        <f t="shared" si="12"/>
        <v>5509.3</v>
      </c>
      <c r="AE66" s="88">
        <f t="shared" si="13"/>
        <v>8721.3000000000011</v>
      </c>
      <c r="AF66" s="181"/>
      <c r="AG66" s="133">
        <f>AG65+1</f>
        <v>2001</v>
      </c>
      <c r="AH66" s="183"/>
      <c r="AI66" s="36"/>
    </row>
    <row r="67" spans="1:36" s="32" customFormat="1" ht="39.75" customHeight="1">
      <c r="A67" s="33"/>
      <c r="B67" s="184"/>
      <c r="C67" s="134">
        <f>C66+1</f>
        <v>2002</v>
      </c>
      <c r="D67" s="185"/>
      <c r="E67" s="186">
        <v>3835.1</v>
      </c>
      <c r="F67" s="187">
        <v>5532.6</v>
      </c>
      <c r="G67" s="123">
        <v>1346.9</v>
      </c>
      <c r="H67" s="123">
        <v>160.69999999999999</v>
      </c>
      <c r="I67" s="123">
        <v>495.9</v>
      </c>
      <c r="J67" s="123">
        <f t="shared" si="8"/>
        <v>2003.5</v>
      </c>
      <c r="K67" s="123">
        <f>149.1+46</f>
        <v>195.1</v>
      </c>
      <c r="L67" s="123">
        <v>0.7</v>
      </c>
      <c r="M67" s="123">
        <f>29.5+30</f>
        <v>59.5</v>
      </c>
      <c r="N67" s="123">
        <f t="shared" si="14"/>
        <v>255.3</v>
      </c>
      <c r="O67" s="123">
        <v>63.4</v>
      </c>
      <c r="P67" s="123">
        <v>0.1</v>
      </c>
      <c r="Q67" s="123">
        <v>7.1</v>
      </c>
      <c r="R67" s="123">
        <f t="shared" si="9"/>
        <v>70.599999999999994</v>
      </c>
      <c r="S67" s="123">
        <v>15.8</v>
      </c>
      <c r="T67" s="123">
        <v>0</v>
      </c>
      <c r="U67" s="123">
        <v>7</v>
      </c>
      <c r="V67" s="123">
        <f t="shared" si="10"/>
        <v>22.8</v>
      </c>
      <c r="W67" s="123">
        <f>163.3+646.9</f>
        <v>810.2</v>
      </c>
      <c r="X67" s="123">
        <v>0.2</v>
      </c>
      <c r="Y67" s="123">
        <f>97.7+12.6</f>
        <v>110.3</v>
      </c>
      <c r="Z67" s="123">
        <f t="shared" si="11"/>
        <v>920.7</v>
      </c>
      <c r="AA67" s="123">
        <v>3782.1</v>
      </c>
      <c r="AB67" s="123">
        <v>1072.0999999999999</v>
      </c>
      <c r="AC67" s="123">
        <v>1240.5999999999999</v>
      </c>
      <c r="AD67" s="123">
        <f t="shared" si="12"/>
        <v>6094.7999999999993</v>
      </c>
      <c r="AE67" s="188">
        <f t="shared" si="13"/>
        <v>9367.7000000000007</v>
      </c>
      <c r="AF67" s="185"/>
      <c r="AG67" s="134">
        <f>AG66+1</f>
        <v>2002</v>
      </c>
      <c r="AH67" s="189"/>
      <c r="AI67" s="36"/>
    </row>
    <row r="68" spans="1:36" s="9" customFormat="1" ht="39.75" customHeight="1">
      <c r="A68" s="33"/>
      <c r="B68" s="180"/>
      <c r="C68" s="133">
        <f>C67+1</f>
        <v>2003</v>
      </c>
      <c r="D68" s="181"/>
      <c r="E68" s="124">
        <v>3886.5</v>
      </c>
      <c r="F68" s="125">
        <v>6082.9</v>
      </c>
      <c r="G68" s="87">
        <v>1251.0999999999999</v>
      </c>
      <c r="H68" s="87">
        <v>186.1</v>
      </c>
      <c r="I68" s="87">
        <v>371.7</v>
      </c>
      <c r="J68" s="87">
        <f t="shared" si="8"/>
        <v>1808.8999999999999</v>
      </c>
      <c r="K68" s="87">
        <f>133.3+48.3</f>
        <v>181.60000000000002</v>
      </c>
      <c r="L68" s="87">
        <v>2</v>
      </c>
      <c r="M68" s="87">
        <f>50.4+35.9</f>
        <v>86.3</v>
      </c>
      <c r="N68" s="87">
        <f>SUM(M68+L68+K68)</f>
        <v>269.90000000000003</v>
      </c>
      <c r="O68" s="87">
        <v>75.8</v>
      </c>
      <c r="P68" s="87">
        <v>0.3</v>
      </c>
      <c r="Q68" s="87">
        <v>10.4</v>
      </c>
      <c r="R68" s="87">
        <f t="shared" si="9"/>
        <v>86.5</v>
      </c>
      <c r="S68" s="87">
        <v>11.9</v>
      </c>
      <c r="T68" s="87">
        <v>0</v>
      </c>
      <c r="U68" s="87">
        <v>15.8</v>
      </c>
      <c r="V68" s="87">
        <f t="shared" si="10"/>
        <v>27.700000000000003</v>
      </c>
      <c r="W68" s="87">
        <f>260.5+398.1</f>
        <v>658.6</v>
      </c>
      <c r="X68" s="87">
        <v>0.6</v>
      </c>
      <c r="Y68" s="87">
        <f>119.5+24.5</f>
        <v>144</v>
      </c>
      <c r="Z68" s="87">
        <f t="shared" si="11"/>
        <v>803.2</v>
      </c>
      <c r="AA68" s="87">
        <v>3941</v>
      </c>
      <c r="AB68" s="87">
        <v>1321.6</v>
      </c>
      <c r="AC68" s="87">
        <v>1710.6</v>
      </c>
      <c r="AD68" s="87">
        <f t="shared" si="12"/>
        <v>6973.2000000000007</v>
      </c>
      <c r="AE68" s="88">
        <f t="shared" si="13"/>
        <v>9969.4</v>
      </c>
      <c r="AF68" s="181"/>
      <c r="AG68" s="133">
        <f>AG67+1</f>
        <v>2003</v>
      </c>
      <c r="AH68" s="183"/>
      <c r="AI68" s="36"/>
    </row>
    <row r="69" spans="1:36" s="32" customFormat="1" ht="39.75" customHeight="1">
      <c r="A69" s="33"/>
      <c r="B69" s="184"/>
      <c r="C69" s="134">
        <v>2004</v>
      </c>
      <c r="D69" s="185"/>
      <c r="E69" s="186">
        <v>4685.3999999999996</v>
      </c>
      <c r="F69" s="187">
        <v>6878.7</v>
      </c>
      <c r="G69" s="123">
        <v>1182.3</v>
      </c>
      <c r="H69" s="123">
        <v>257.10000000000002</v>
      </c>
      <c r="I69" s="123">
        <v>723.6</v>
      </c>
      <c r="J69" s="123">
        <f>SUM(I69+H69+G69)</f>
        <v>2163</v>
      </c>
      <c r="K69" s="123">
        <f>70.3+130.5</f>
        <v>200.8</v>
      </c>
      <c r="L69" s="123">
        <v>0.8</v>
      </c>
      <c r="M69" s="123">
        <f>83.9+50.8</f>
        <v>134.69999999999999</v>
      </c>
      <c r="N69" s="123">
        <f>SUM(M69+L69+K69)</f>
        <v>336.3</v>
      </c>
      <c r="O69" s="123">
        <v>87.4</v>
      </c>
      <c r="P69" s="123">
        <v>0.7</v>
      </c>
      <c r="Q69" s="123">
        <v>9.6</v>
      </c>
      <c r="R69" s="123">
        <f>SUM(O69:Q69)</f>
        <v>97.7</v>
      </c>
      <c r="S69" s="123">
        <v>13.3</v>
      </c>
      <c r="T69" s="123">
        <v>0</v>
      </c>
      <c r="U69" s="123">
        <v>19</v>
      </c>
      <c r="V69" s="123">
        <f>SUM(S69:U69)</f>
        <v>32.299999999999997</v>
      </c>
      <c r="W69" s="123">
        <f>317.4+366.5</f>
        <v>683.9</v>
      </c>
      <c r="X69" s="123">
        <v>1</v>
      </c>
      <c r="Y69" s="123">
        <f>97.7+54.4</f>
        <v>152.1</v>
      </c>
      <c r="Z69" s="123">
        <f>SUM(W69:Y69)</f>
        <v>837</v>
      </c>
      <c r="AA69" s="123">
        <v>4323.7</v>
      </c>
      <c r="AB69" s="123">
        <v>1569</v>
      </c>
      <c r="AC69" s="123">
        <v>2205.1</v>
      </c>
      <c r="AD69" s="123">
        <f>SUM(AA69:AC69)</f>
        <v>8097.7999999999993</v>
      </c>
      <c r="AE69" s="188">
        <f>SUM(AD69+Z69+V69+R69+N69+J69)</f>
        <v>11564.099999999999</v>
      </c>
      <c r="AF69" s="185"/>
      <c r="AG69" s="134">
        <v>2004</v>
      </c>
      <c r="AH69" s="189"/>
      <c r="AI69" s="36"/>
    </row>
    <row r="70" spans="1:36" s="9" customFormat="1" ht="39.75" customHeight="1">
      <c r="A70" s="33"/>
      <c r="B70" s="180"/>
      <c r="C70" s="133">
        <v>2005</v>
      </c>
      <c r="D70" s="181"/>
      <c r="E70" s="124">
        <v>4754.8</v>
      </c>
      <c r="F70" s="125">
        <v>8364.5</v>
      </c>
      <c r="G70" s="87">
        <v>1225.7</v>
      </c>
      <c r="H70" s="87">
        <v>260.60000000000002</v>
      </c>
      <c r="I70" s="87">
        <v>509.2</v>
      </c>
      <c r="J70" s="87">
        <f t="shared" si="8"/>
        <v>1995.5</v>
      </c>
      <c r="K70" s="87">
        <v>295.3</v>
      </c>
      <c r="L70" s="87">
        <v>0.5</v>
      </c>
      <c r="M70" s="87">
        <v>148.69999999999999</v>
      </c>
      <c r="N70" s="87">
        <f t="shared" si="14"/>
        <v>444.5</v>
      </c>
      <c r="O70" s="87">
        <v>66</v>
      </c>
      <c r="P70" s="87">
        <v>0.2</v>
      </c>
      <c r="Q70" s="87">
        <v>11</v>
      </c>
      <c r="R70" s="87">
        <f t="shared" si="9"/>
        <v>77.2</v>
      </c>
      <c r="S70" s="87">
        <v>9.6</v>
      </c>
      <c r="T70" s="87">
        <v>0</v>
      </c>
      <c r="U70" s="87">
        <v>17.600000000000001</v>
      </c>
      <c r="V70" s="87">
        <f t="shared" si="10"/>
        <v>27.200000000000003</v>
      </c>
      <c r="W70" s="87">
        <v>707.1</v>
      </c>
      <c r="X70" s="87">
        <v>0.6</v>
      </c>
      <c r="Y70" s="87">
        <v>130.5</v>
      </c>
      <c r="Z70" s="87">
        <f t="shared" si="11"/>
        <v>838.2</v>
      </c>
      <c r="AA70" s="87">
        <v>5184.6000000000004</v>
      </c>
      <c r="AB70" s="87">
        <v>1694.7</v>
      </c>
      <c r="AC70" s="87">
        <v>2857.4</v>
      </c>
      <c r="AD70" s="87">
        <f t="shared" si="12"/>
        <v>9736.7000000000007</v>
      </c>
      <c r="AE70" s="88">
        <f t="shared" si="13"/>
        <v>13119.300000000003</v>
      </c>
      <c r="AF70" s="181"/>
      <c r="AG70" s="133">
        <v>2005</v>
      </c>
      <c r="AH70" s="183"/>
      <c r="AI70" s="36"/>
    </row>
    <row r="71" spans="1:36" s="32" customFormat="1" ht="39.75" customHeight="1">
      <c r="A71" s="33"/>
      <c r="B71" s="184"/>
      <c r="C71" s="134">
        <v>2006</v>
      </c>
      <c r="D71" s="185"/>
      <c r="E71" s="186">
        <v>5164.8</v>
      </c>
      <c r="F71" s="187">
        <v>9427.1</v>
      </c>
      <c r="G71" s="123">
        <v>1347.9</v>
      </c>
      <c r="H71" s="123">
        <v>234.1</v>
      </c>
      <c r="I71" s="123">
        <v>472</v>
      </c>
      <c r="J71" s="123">
        <f t="shared" si="8"/>
        <v>2054</v>
      </c>
      <c r="K71" s="123">
        <f>146.1+185.2</f>
        <v>331.29999999999995</v>
      </c>
      <c r="L71" s="123">
        <v>0.8</v>
      </c>
      <c r="M71" s="123">
        <f>87.7+58</f>
        <v>145.69999999999999</v>
      </c>
      <c r="N71" s="123">
        <f t="shared" si="14"/>
        <v>477.79999999999995</v>
      </c>
      <c r="O71" s="123">
        <v>83.8</v>
      </c>
      <c r="P71" s="123">
        <v>0.3</v>
      </c>
      <c r="Q71" s="123">
        <v>9.6999999999999993</v>
      </c>
      <c r="R71" s="123">
        <f t="shared" si="9"/>
        <v>93.8</v>
      </c>
      <c r="S71" s="123">
        <v>8.9</v>
      </c>
      <c r="T71" s="123">
        <v>0</v>
      </c>
      <c r="U71" s="123">
        <v>15.3</v>
      </c>
      <c r="V71" s="123">
        <f t="shared" si="10"/>
        <v>24.200000000000003</v>
      </c>
      <c r="W71" s="123">
        <f>101.9+463.9</f>
        <v>565.79999999999995</v>
      </c>
      <c r="X71" s="123">
        <v>0.7</v>
      </c>
      <c r="Y71" s="123">
        <f>64.3+44.6</f>
        <v>108.9</v>
      </c>
      <c r="Z71" s="123">
        <f t="shared" si="11"/>
        <v>675.4</v>
      </c>
      <c r="AA71" s="123">
        <v>6421.7</v>
      </c>
      <c r="AB71" s="123">
        <v>1761.2</v>
      </c>
      <c r="AC71" s="123">
        <v>3083.8</v>
      </c>
      <c r="AD71" s="123">
        <f t="shared" si="12"/>
        <v>11266.7</v>
      </c>
      <c r="AE71" s="188">
        <f t="shared" si="13"/>
        <v>14591.9</v>
      </c>
      <c r="AF71" s="185"/>
      <c r="AG71" s="134">
        <v>2006</v>
      </c>
      <c r="AH71" s="189"/>
      <c r="AI71" s="36"/>
    </row>
    <row r="72" spans="1:36" s="9" customFormat="1" ht="39.75" customHeight="1">
      <c r="A72" s="33"/>
      <c r="B72" s="180"/>
      <c r="C72" s="133">
        <v>2007</v>
      </c>
      <c r="D72" s="181"/>
      <c r="E72" s="124">
        <v>5370.1</v>
      </c>
      <c r="F72" s="125">
        <v>10618</v>
      </c>
      <c r="G72" s="87">
        <v>1399.9</v>
      </c>
      <c r="H72" s="87">
        <v>197.3</v>
      </c>
      <c r="I72" s="87">
        <v>491.8</v>
      </c>
      <c r="J72" s="87">
        <f>SUM(I72+H72+G72)</f>
        <v>2089</v>
      </c>
      <c r="K72" s="87">
        <f>240.1+148.8</f>
        <v>388.9</v>
      </c>
      <c r="L72" s="87">
        <v>0.2</v>
      </c>
      <c r="M72" s="87">
        <f>84.9+52.6</f>
        <v>137.5</v>
      </c>
      <c r="N72" s="87">
        <f t="shared" si="14"/>
        <v>526.59999999999991</v>
      </c>
      <c r="O72" s="87">
        <v>84.9</v>
      </c>
      <c r="P72" s="87">
        <v>0.8</v>
      </c>
      <c r="Q72" s="87">
        <v>15.3</v>
      </c>
      <c r="R72" s="87">
        <f t="shared" si="9"/>
        <v>101</v>
      </c>
      <c r="S72" s="87">
        <v>42.6</v>
      </c>
      <c r="T72" s="87">
        <v>0.5</v>
      </c>
      <c r="U72" s="87">
        <v>20.7</v>
      </c>
      <c r="V72" s="87">
        <f t="shared" si="10"/>
        <v>63.8</v>
      </c>
      <c r="W72" s="87">
        <f>591.2+50.3</f>
        <v>641.5</v>
      </c>
      <c r="X72" s="87">
        <v>1.3</v>
      </c>
      <c r="Y72" s="87">
        <f>39.3+26.5</f>
        <v>65.8</v>
      </c>
      <c r="Z72" s="87">
        <f t="shared" si="11"/>
        <v>708.59999999999991</v>
      </c>
      <c r="AA72" s="87">
        <v>7425.5</v>
      </c>
      <c r="AB72" s="87">
        <v>1802.8</v>
      </c>
      <c r="AC72" s="87">
        <v>3270.8</v>
      </c>
      <c r="AD72" s="87">
        <f t="shared" si="12"/>
        <v>12499.099999999999</v>
      </c>
      <c r="AE72" s="88">
        <f t="shared" si="13"/>
        <v>15988.099999999999</v>
      </c>
      <c r="AF72" s="181"/>
      <c r="AG72" s="133">
        <v>2007</v>
      </c>
      <c r="AH72" s="183"/>
      <c r="AI72" s="36"/>
    </row>
    <row r="73" spans="1:36" s="32" customFormat="1" ht="39.75" customHeight="1">
      <c r="A73" s="33"/>
      <c r="B73" s="184"/>
      <c r="C73" s="134">
        <v>2008</v>
      </c>
      <c r="D73" s="185"/>
      <c r="E73" s="186">
        <v>4754.1000000000004</v>
      </c>
      <c r="F73" s="187">
        <v>13348.5</v>
      </c>
      <c r="G73" s="123">
        <v>1312.2</v>
      </c>
      <c r="H73" s="123">
        <v>220.8</v>
      </c>
      <c r="I73" s="123">
        <v>584</v>
      </c>
      <c r="J73" s="123">
        <f>SUM(I73+H73+G73)</f>
        <v>2117</v>
      </c>
      <c r="K73" s="123">
        <f>145.6+272.3</f>
        <v>417.9</v>
      </c>
      <c r="L73" s="123">
        <v>0.3</v>
      </c>
      <c r="M73" s="123">
        <f>91.2+51.7</f>
        <v>142.9</v>
      </c>
      <c r="N73" s="123">
        <f t="shared" si="14"/>
        <v>561.1</v>
      </c>
      <c r="O73" s="123">
        <v>85</v>
      </c>
      <c r="P73" s="123">
        <v>0.3</v>
      </c>
      <c r="Q73" s="123">
        <v>51.1</v>
      </c>
      <c r="R73" s="123">
        <f t="shared" si="9"/>
        <v>136.4</v>
      </c>
      <c r="S73" s="123">
        <v>3.3</v>
      </c>
      <c r="T73" s="123">
        <v>0.2</v>
      </c>
      <c r="U73" s="123">
        <v>16.399999999999999</v>
      </c>
      <c r="V73" s="123">
        <f t="shared" si="10"/>
        <v>19.899999999999999</v>
      </c>
      <c r="W73" s="123">
        <f>595.1+262.8</f>
        <v>857.90000000000009</v>
      </c>
      <c r="X73" s="123">
        <v>0.3</v>
      </c>
      <c r="Y73" s="123">
        <f>69.7+48.3</f>
        <v>118</v>
      </c>
      <c r="Z73" s="123">
        <f t="shared" si="11"/>
        <v>976.2</v>
      </c>
      <c r="AA73" s="123">
        <v>8770.7000000000007</v>
      </c>
      <c r="AB73" s="123">
        <v>1921.7</v>
      </c>
      <c r="AC73" s="123">
        <v>3599.6</v>
      </c>
      <c r="AD73" s="123">
        <f t="shared" si="12"/>
        <v>14292.000000000002</v>
      </c>
      <c r="AE73" s="188">
        <f>SUM(AD73+Z73+V73+R73+N73+J73)</f>
        <v>18102.600000000002</v>
      </c>
      <c r="AF73" s="185"/>
      <c r="AG73" s="134">
        <v>2008</v>
      </c>
      <c r="AH73" s="189"/>
      <c r="AI73" s="36"/>
    </row>
    <row r="74" spans="1:36" s="9" customFormat="1" ht="39.75" customHeight="1">
      <c r="A74" s="33"/>
      <c r="B74" s="180"/>
      <c r="C74" s="133">
        <v>2009</v>
      </c>
      <c r="D74" s="181"/>
      <c r="E74" s="124">
        <v>4433.3999999999996</v>
      </c>
      <c r="F74" s="125">
        <v>15865</v>
      </c>
      <c r="G74" s="87">
        <v>1240.2</v>
      </c>
      <c r="H74" s="87">
        <v>338.5</v>
      </c>
      <c r="I74" s="87">
        <v>685.6</v>
      </c>
      <c r="J74" s="87">
        <f>SUM(I74+H74+G74)</f>
        <v>2264.3000000000002</v>
      </c>
      <c r="K74" s="87">
        <f>181.5+414.1</f>
        <v>595.6</v>
      </c>
      <c r="L74" s="87">
        <f>0.1+0.1</f>
        <v>0.2</v>
      </c>
      <c r="M74" s="87">
        <f>126.3+58.8</f>
        <v>185.1</v>
      </c>
      <c r="N74" s="87">
        <f t="shared" si="14"/>
        <v>780.9</v>
      </c>
      <c r="O74" s="87">
        <v>115.1</v>
      </c>
      <c r="P74" s="87">
        <v>0.6</v>
      </c>
      <c r="Q74" s="87">
        <v>33.5</v>
      </c>
      <c r="R74" s="87">
        <f t="shared" si="9"/>
        <v>149.19999999999999</v>
      </c>
      <c r="S74" s="87">
        <v>6.8</v>
      </c>
      <c r="T74" s="87">
        <v>0.5</v>
      </c>
      <c r="U74" s="87">
        <v>35.299999999999997</v>
      </c>
      <c r="V74" s="87">
        <f t="shared" si="10"/>
        <v>42.599999999999994</v>
      </c>
      <c r="W74" s="87">
        <f>445.4+284.6</f>
        <v>730</v>
      </c>
      <c r="X74" s="87">
        <f>0.3</f>
        <v>0.3</v>
      </c>
      <c r="Y74" s="87">
        <f>16.4+58</f>
        <v>74.400000000000006</v>
      </c>
      <c r="Z74" s="87">
        <f t="shared" si="11"/>
        <v>804.69999999999993</v>
      </c>
      <c r="AA74" s="87">
        <v>9736.9</v>
      </c>
      <c r="AB74" s="87">
        <v>2226.3000000000002</v>
      </c>
      <c r="AC74" s="87">
        <v>4293.5</v>
      </c>
      <c r="AD74" s="87">
        <f>SUM(AA74:AC74)</f>
        <v>16256.7</v>
      </c>
      <c r="AE74" s="88">
        <f t="shared" si="13"/>
        <v>20298.400000000001</v>
      </c>
      <c r="AF74" s="181"/>
      <c r="AG74" s="133">
        <v>2009</v>
      </c>
      <c r="AH74" s="183"/>
      <c r="AI74" s="36"/>
    </row>
    <row r="75" spans="1:36" s="32" customFormat="1" ht="39.75" customHeight="1">
      <c r="A75" s="33"/>
      <c r="B75" s="184"/>
      <c r="C75" s="134">
        <v>2010</v>
      </c>
      <c r="D75" s="185"/>
      <c r="E75" s="186">
        <v>4887.6000000000004</v>
      </c>
      <c r="F75" s="187">
        <v>17617.2</v>
      </c>
      <c r="G75" s="123">
        <v>1182.3</v>
      </c>
      <c r="H75" s="123">
        <v>413.1</v>
      </c>
      <c r="I75" s="123">
        <v>812.5</v>
      </c>
      <c r="J75" s="123">
        <f t="shared" si="8"/>
        <v>2407.8999999999996</v>
      </c>
      <c r="K75" s="123">
        <f>397.8+162.6</f>
        <v>560.4</v>
      </c>
      <c r="L75" s="123">
        <f>0.4+0.1</f>
        <v>0.5</v>
      </c>
      <c r="M75" s="123">
        <f>59.6+45.4</f>
        <v>105</v>
      </c>
      <c r="N75" s="123">
        <f t="shared" si="14"/>
        <v>665.9</v>
      </c>
      <c r="O75" s="123">
        <v>144.5</v>
      </c>
      <c r="P75" s="123">
        <v>0.4</v>
      </c>
      <c r="Q75" s="123">
        <v>57.8</v>
      </c>
      <c r="R75" s="123">
        <f t="shared" si="9"/>
        <v>202.7</v>
      </c>
      <c r="S75" s="123">
        <v>14.7</v>
      </c>
      <c r="T75" s="123">
        <v>0.6</v>
      </c>
      <c r="U75" s="123">
        <v>20.100000000000001</v>
      </c>
      <c r="V75" s="123">
        <f t="shared" si="10"/>
        <v>35.4</v>
      </c>
      <c r="W75" s="123">
        <f>275.3+501.5</f>
        <v>776.8</v>
      </c>
      <c r="X75" s="123">
        <v>1.4</v>
      </c>
      <c r="Y75" s="123">
        <f>25.2+45.6</f>
        <v>70.8</v>
      </c>
      <c r="Z75" s="123">
        <f t="shared" si="11"/>
        <v>848.99999999999989</v>
      </c>
      <c r="AA75" s="123">
        <v>10878.1</v>
      </c>
      <c r="AB75" s="123">
        <v>2560.9</v>
      </c>
      <c r="AC75" s="123">
        <v>4904.8999999999996</v>
      </c>
      <c r="AD75" s="123">
        <f t="shared" si="12"/>
        <v>18343.900000000001</v>
      </c>
      <c r="AE75" s="188">
        <f t="shared" si="13"/>
        <v>22504.800000000003</v>
      </c>
      <c r="AF75" s="185"/>
      <c r="AG75" s="134">
        <v>2010</v>
      </c>
      <c r="AH75" s="189"/>
      <c r="AI75" s="36"/>
    </row>
    <row r="76" spans="1:36" s="9" customFormat="1" ht="39.75" customHeight="1">
      <c r="A76" s="33"/>
      <c r="B76" s="180"/>
      <c r="C76" s="133">
        <v>2011</v>
      </c>
      <c r="D76" s="181"/>
      <c r="E76" s="124">
        <v>5258.8</v>
      </c>
      <c r="F76" s="125">
        <v>19119.099999999999</v>
      </c>
      <c r="G76" s="87">
        <v>1267.5</v>
      </c>
      <c r="H76" s="87">
        <v>485.5</v>
      </c>
      <c r="I76" s="87">
        <v>908.3</v>
      </c>
      <c r="J76" s="87">
        <f t="shared" si="8"/>
        <v>2661.3</v>
      </c>
      <c r="K76" s="87">
        <f>331.7+143.8</f>
        <v>475.5</v>
      </c>
      <c r="L76" s="87">
        <f>0.4+0.1</f>
        <v>0.5</v>
      </c>
      <c r="M76" s="87">
        <f>101.1+60.3</f>
        <v>161.39999999999998</v>
      </c>
      <c r="N76" s="87">
        <f t="shared" si="14"/>
        <v>637.4</v>
      </c>
      <c r="O76" s="87">
        <v>188.7</v>
      </c>
      <c r="P76" s="87">
        <v>0.3</v>
      </c>
      <c r="Q76" s="87">
        <v>88</v>
      </c>
      <c r="R76" s="87">
        <f t="shared" si="9"/>
        <v>277</v>
      </c>
      <c r="S76" s="87">
        <v>12.8</v>
      </c>
      <c r="T76" s="87">
        <v>0.1</v>
      </c>
      <c r="U76" s="87">
        <v>3.4</v>
      </c>
      <c r="V76" s="87">
        <f t="shared" si="10"/>
        <v>16.3</v>
      </c>
      <c r="W76" s="87">
        <f>298.2+507.9</f>
        <v>806.09999999999991</v>
      </c>
      <c r="X76" s="87">
        <v>0.8</v>
      </c>
      <c r="Y76" s="87">
        <f>29.7+43.5</f>
        <v>73.2</v>
      </c>
      <c r="Z76" s="87">
        <f t="shared" si="11"/>
        <v>880.09999999999991</v>
      </c>
      <c r="AA76" s="87">
        <v>11375.8</v>
      </c>
      <c r="AB76" s="87">
        <v>2887.5</v>
      </c>
      <c r="AC76" s="87">
        <v>5642.5</v>
      </c>
      <c r="AD76" s="87">
        <f t="shared" si="12"/>
        <v>19905.8</v>
      </c>
      <c r="AE76" s="88">
        <f t="shared" si="13"/>
        <v>24377.899999999998</v>
      </c>
      <c r="AF76" s="181"/>
      <c r="AG76" s="133">
        <v>2011</v>
      </c>
      <c r="AH76" s="183"/>
      <c r="AI76" s="36"/>
      <c r="AJ76" s="35"/>
    </row>
    <row r="77" spans="1:36" s="9" customFormat="1" ht="39.75" customHeight="1">
      <c r="A77" s="33"/>
      <c r="B77" s="184"/>
      <c r="C77" s="134">
        <v>2012</v>
      </c>
      <c r="D77" s="185"/>
      <c r="E77" s="186">
        <v>7258.6</v>
      </c>
      <c r="F77" s="187">
        <v>17711.099999999999</v>
      </c>
      <c r="G77" s="123">
        <v>1162.7</v>
      </c>
      <c r="H77" s="123">
        <v>419.7</v>
      </c>
      <c r="I77" s="123">
        <v>1029.3</v>
      </c>
      <c r="J77" s="123">
        <f t="shared" ref="J77:J86" si="15">SUM(I77+H77+G77)</f>
        <v>2611.6999999999998</v>
      </c>
      <c r="K77" s="123">
        <v>507.8</v>
      </c>
      <c r="L77" s="123">
        <v>0.3</v>
      </c>
      <c r="M77" s="123">
        <v>138.6</v>
      </c>
      <c r="N77" s="123">
        <f t="shared" ref="N77:N86" si="16">SUM(M77+L77+K77)</f>
        <v>646.70000000000005</v>
      </c>
      <c r="O77" s="123">
        <v>204.6</v>
      </c>
      <c r="P77" s="123">
        <v>0.9</v>
      </c>
      <c r="Q77" s="123">
        <v>69.400000000000006</v>
      </c>
      <c r="R77" s="123">
        <f t="shared" ref="R77:R86" si="17">SUM(O77:Q77)</f>
        <v>274.89999999999998</v>
      </c>
      <c r="S77" s="123">
        <v>15.7</v>
      </c>
      <c r="T77" s="123">
        <v>0</v>
      </c>
      <c r="U77" s="123">
        <v>3.5</v>
      </c>
      <c r="V77" s="123">
        <f t="shared" ref="V77:V86" si="18">SUM(S77:U77)</f>
        <v>19.2</v>
      </c>
      <c r="W77" s="123">
        <v>932</v>
      </c>
      <c r="X77" s="123">
        <v>0.2</v>
      </c>
      <c r="Y77" s="123">
        <v>98</v>
      </c>
      <c r="Z77" s="123">
        <f t="shared" ref="Z77:Z86" si="19">SUM(W77:Y77)</f>
        <v>1030.2</v>
      </c>
      <c r="AA77" s="123">
        <v>10979.7</v>
      </c>
      <c r="AB77" s="123">
        <v>3293.3</v>
      </c>
      <c r="AC77" s="123">
        <v>6114</v>
      </c>
      <c r="AD77" s="123">
        <f t="shared" ref="AD77:AD86" si="20">SUM(AA77:AC77)</f>
        <v>20387</v>
      </c>
      <c r="AE77" s="188">
        <f t="shared" ref="AE77:AE86" si="21">SUM(AD77+Z77+V77+R77+N77+J77)</f>
        <v>24969.700000000004</v>
      </c>
      <c r="AF77" s="185"/>
      <c r="AG77" s="134">
        <v>2012</v>
      </c>
      <c r="AH77" s="189"/>
      <c r="AI77" s="36"/>
      <c r="AJ77" s="35"/>
    </row>
    <row r="78" spans="1:36" s="9" customFormat="1" ht="39.75" customHeight="1">
      <c r="A78" s="33"/>
      <c r="B78" s="180"/>
      <c r="C78" s="135">
        <v>2013</v>
      </c>
      <c r="D78" s="181"/>
      <c r="E78" s="124">
        <v>6590.2</v>
      </c>
      <c r="F78" s="125">
        <v>21003</v>
      </c>
      <c r="G78" s="87">
        <v>1317.8</v>
      </c>
      <c r="H78" s="87">
        <v>663.1</v>
      </c>
      <c r="I78" s="87">
        <v>1132.0999999999999</v>
      </c>
      <c r="J78" s="87">
        <f t="shared" si="15"/>
        <v>3113</v>
      </c>
      <c r="K78" s="87">
        <v>594.1</v>
      </c>
      <c r="L78" s="87">
        <v>0.8</v>
      </c>
      <c r="M78" s="87">
        <v>149</v>
      </c>
      <c r="N78" s="87">
        <f t="shared" si="16"/>
        <v>743.90000000000009</v>
      </c>
      <c r="O78" s="87">
        <v>207.6</v>
      </c>
      <c r="P78" s="87">
        <v>1.4</v>
      </c>
      <c r="Q78" s="87">
        <v>68.8</v>
      </c>
      <c r="R78" s="87">
        <f t="shared" si="17"/>
        <v>277.8</v>
      </c>
      <c r="S78" s="87">
        <v>17.3</v>
      </c>
      <c r="T78" s="87">
        <v>0</v>
      </c>
      <c r="U78" s="87">
        <v>4.5999999999999996</v>
      </c>
      <c r="V78" s="87">
        <f t="shared" si="18"/>
        <v>21.9</v>
      </c>
      <c r="W78" s="87">
        <v>1122.8</v>
      </c>
      <c r="X78" s="87">
        <v>0.3</v>
      </c>
      <c r="Y78" s="87">
        <v>117.7</v>
      </c>
      <c r="Z78" s="87">
        <f t="shared" si="19"/>
        <v>1240.8</v>
      </c>
      <c r="AA78" s="87">
        <v>12195.3</v>
      </c>
      <c r="AB78" s="87">
        <v>3234.8</v>
      </c>
      <c r="AC78" s="87">
        <v>6765.7</v>
      </c>
      <c r="AD78" s="87">
        <f t="shared" si="20"/>
        <v>22195.8</v>
      </c>
      <c r="AE78" s="88">
        <f t="shared" si="21"/>
        <v>27593.200000000001</v>
      </c>
      <c r="AF78" s="181"/>
      <c r="AG78" s="135">
        <v>2013</v>
      </c>
      <c r="AH78" s="183"/>
      <c r="AI78" s="36"/>
      <c r="AJ78" s="35"/>
    </row>
    <row r="79" spans="1:36" s="9" customFormat="1" ht="39.75" customHeight="1">
      <c r="A79" s="33"/>
      <c r="B79" s="184"/>
      <c r="C79" s="216">
        <v>2014</v>
      </c>
      <c r="D79" s="185"/>
      <c r="E79" s="186">
        <v>6247.9</v>
      </c>
      <c r="F79" s="187">
        <v>24013.1</v>
      </c>
      <c r="G79" s="123">
        <v>1731.7</v>
      </c>
      <c r="H79" s="123">
        <v>533.6</v>
      </c>
      <c r="I79" s="123">
        <v>1187.3</v>
      </c>
      <c r="J79" s="123">
        <f t="shared" si="15"/>
        <v>3452.6000000000004</v>
      </c>
      <c r="K79" s="123">
        <v>1241.0999999999999</v>
      </c>
      <c r="L79" s="123">
        <v>0.79999999999999993</v>
      </c>
      <c r="M79" s="123">
        <v>138.1</v>
      </c>
      <c r="N79" s="123">
        <f t="shared" si="16"/>
        <v>1380</v>
      </c>
      <c r="O79" s="123">
        <v>271.7</v>
      </c>
      <c r="P79" s="123">
        <v>1.6</v>
      </c>
      <c r="Q79" s="123">
        <v>87.1</v>
      </c>
      <c r="R79" s="123">
        <f t="shared" si="17"/>
        <v>360.4</v>
      </c>
      <c r="S79" s="123">
        <v>29.1</v>
      </c>
      <c r="T79" s="123">
        <v>0</v>
      </c>
      <c r="U79" s="123">
        <v>24.2</v>
      </c>
      <c r="V79" s="123">
        <f t="shared" si="18"/>
        <v>53.3</v>
      </c>
      <c r="W79" s="123">
        <v>905.09999999999991</v>
      </c>
      <c r="X79" s="123">
        <v>1.1000000000000001</v>
      </c>
      <c r="Y79" s="123">
        <v>131.6</v>
      </c>
      <c r="Z79" s="123">
        <f t="shared" si="19"/>
        <v>1037.8</v>
      </c>
      <c r="AA79" s="123">
        <v>12906.3</v>
      </c>
      <c r="AB79" s="123">
        <v>3651.6</v>
      </c>
      <c r="AC79" s="123">
        <v>7419</v>
      </c>
      <c r="AD79" s="123">
        <f t="shared" si="20"/>
        <v>23976.899999999998</v>
      </c>
      <c r="AE79" s="188">
        <f t="shared" si="21"/>
        <v>30261</v>
      </c>
      <c r="AF79" s="185"/>
      <c r="AG79" s="216">
        <v>2014</v>
      </c>
      <c r="AH79" s="189"/>
      <c r="AI79" s="36"/>
      <c r="AJ79" s="35"/>
    </row>
    <row r="80" spans="1:36" s="9" customFormat="1" ht="39.75" customHeight="1">
      <c r="A80" s="33"/>
      <c r="B80" s="180"/>
      <c r="C80" s="217">
        <v>2015</v>
      </c>
      <c r="D80" s="181"/>
      <c r="E80" s="124">
        <v>6583.9999999999991</v>
      </c>
      <c r="F80" s="125">
        <v>26014.5</v>
      </c>
      <c r="G80" s="87">
        <v>1779.6</v>
      </c>
      <c r="H80" s="87">
        <v>550.1</v>
      </c>
      <c r="I80" s="87">
        <v>1308.8</v>
      </c>
      <c r="J80" s="87">
        <f t="shared" si="15"/>
        <v>3638.5</v>
      </c>
      <c r="K80" s="87">
        <v>1105.1000000000001</v>
      </c>
      <c r="L80" s="87">
        <v>0.6</v>
      </c>
      <c r="M80" s="87">
        <v>187.60000000000002</v>
      </c>
      <c r="N80" s="87">
        <f t="shared" si="16"/>
        <v>1293.3000000000002</v>
      </c>
      <c r="O80" s="87">
        <v>344.6</v>
      </c>
      <c r="P80" s="87">
        <v>1</v>
      </c>
      <c r="Q80" s="87">
        <v>97.6</v>
      </c>
      <c r="R80" s="87">
        <f t="shared" si="17"/>
        <v>443.20000000000005</v>
      </c>
      <c r="S80" s="87">
        <v>37.299999999999997</v>
      </c>
      <c r="T80" s="87">
        <v>0</v>
      </c>
      <c r="U80" s="87">
        <v>17.2</v>
      </c>
      <c r="V80" s="87">
        <f t="shared" si="18"/>
        <v>54.5</v>
      </c>
      <c r="W80" s="87">
        <v>1196.0999999999999</v>
      </c>
      <c r="X80" s="87">
        <v>0</v>
      </c>
      <c r="Y80" s="87">
        <v>173.2</v>
      </c>
      <c r="Z80" s="87">
        <f t="shared" si="19"/>
        <v>1369.3</v>
      </c>
      <c r="AA80" s="87">
        <v>13601</v>
      </c>
      <c r="AB80" s="87">
        <v>4034.9</v>
      </c>
      <c r="AC80" s="87">
        <v>8163.8</v>
      </c>
      <c r="AD80" s="87">
        <f t="shared" si="20"/>
        <v>25799.7</v>
      </c>
      <c r="AE80" s="88">
        <f t="shared" si="21"/>
        <v>32598.5</v>
      </c>
      <c r="AF80" s="181"/>
      <c r="AG80" s="217">
        <v>2015</v>
      </c>
      <c r="AH80" s="183"/>
      <c r="AI80" s="36"/>
      <c r="AJ80" s="35"/>
    </row>
    <row r="81" spans="1:39" s="9" customFormat="1" ht="39.75" customHeight="1">
      <c r="A81" s="33"/>
      <c r="B81" s="184"/>
      <c r="C81" s="218">
        <v>2016</v>
      </c>
      <c r="D81" s="185"/>
      <c r="E81" s="186">
        <v>6931.8</v>
      </c>
      <c r="F81" s="187">
        <v>25968.2</v>
      </c>
      <c r="G81" s="123">
        <v>1467</v>
      </c>
      <c r="H81" s="123">
        <v>488.8</v>
      </c>
      <c r="I81" s="123">
        <v>1135.5999999999999</v>
      </c>
      <c r="J81" s="123">
        <f t="shared" si="15"/>
        <v>3091.3999999999996</v>
      </c>
      <c r="K81" s="123">
        <v>916.69999999999993</v>
      </c>
      <c r="L81" s="123">
        <v>2.5</v>
      </c>
      <c r="M81" s="123">
        <v>211.10000000000002</v>
      </c>
      <c r="N81" s="123">
        <f t="shared" si="16"/>
        <v>1130.3</v>
      </c>
      <c r="O81" s="123">
        <v>316.8</v>
      </c>
      <c r="P81" s="123">
        <v>1.3</v>
      </c>
      <c r="Q81" s="123">
        <v>67.400000000000006</v>
      </c>
      <c r="R81" s="123">
        <f t="shared" si="17"/>
        <v>385.5</v>
      </c>
      <c r="S81" s="123">
        <v>38.200000000000003</v>
      </c>
      <c r="T81" s="123">
        <v>0</v>
      </c>
      <c r="U81" s="123">
        <v>24.2</v>
      </c>
      <c r="V81" s="123">
        <f t="shared" si="18"/>
        <v>62.400000000000006</v>
      </c>
      <c r="W81" s="123">
        <v>1050.5999999999999</v>
      </c>
      <c r="X81" s="123">
        <v>0.30000000000000004</v>
      </c>
      <c r="Y81" s="123">
        <v>226.60000000000002</v>
      </c>
      <c r="Z81" s="123">
        <f t="shared" si="19"/>
        <v>1277.5</v>
      </c>
      <c r="AA81" s="123">
        <v>13580</v>
      </c>
      <c r="AB81" s="123">
        <v>4725.2</v>
      </c>
      <c r="AC81" s="123">
        <v>8647.7000000000007</v>
      </c>
      <c r="AD81" s="123">
        <f t="shared" si="20"/>
        <v>26952.9</v>
      </c>
      <c r="AE81" s="188">
        <f t="shared" si="21"/>
        <v>32900</v>
      </c>
      <c r="AF81" s="185"/>
      <c r="AG81" s="218">
        <v>2016</v>
      </c>
      <c r="AH81" s="189"/>
      <c r="AI81" s="36"/>
      <c r="AJ81" s="35"/>
    </row>
    <row r="82" spans="1:39" s="9" customFormat="1" ht="39.75" customHeight="1">
      <c r="A82" s="33"/>
      <c r="B82" s="180"/>
      <c r="C82" s="219">
        <v>2017</v>
      </c>
      <c r="D82" s="181"/>
      <c r="E82" s="124">
        <v>7555.5</v>
      </c>
      <c r="F82" s="125">
        <v>25642.2</v>
      </c>
      <c r="G82" s="87">
        <v>1776.6</v>
      </c>
      <c r="H82" s="87">
        <v>603.29999999999995</v>
      </c>
      <c r="I82" s="87">
        <v>1255.7</v>
      </c>
      <c r="J82" s="87">
        <f>SUM(I82+H82+G82)</f>
        <v>3635.6</v>
      </c>
      <c r="K82" s="87">
        <v>807.2</v>
      </c>
      <c r="L82" s="87">
        <v>15.7</v>
      </c>
      <c r="M82" s="87">
        <v>133</v>
      </c>
      <c r="N82" s="87">
        <f>SUM(M82+L82+K82)</f>
        <v>955.90000000000009</v>
      </c>
      <c r="O82" s="87">
        <v>245.2</v>
      </c>
      <c r="P82" s="87">
        <v>0.2</v>
      </c>
      <c r="Q82" s="87">
        <v>64.2</v>
      </c>
      <c r="R82" s="87">
        <f>SUM(O82:Q82)</f>
        <v>309.59999999999997</v>
      </c>
      <c r="S82" s="87">
        <v>57.9</v>
      </c>
      <c r="T82" s="87">
        <v>0.3</v>
      </c>
      <c r="U82" s="87">
        <v>21.6</v>
      </c>
      <c r="V82" s="87">
        <f>SUM(S82:U82)</f>
        <v>79.8</v>
      </c>
      <c r="W82" s="87">
        <v>1200.7</v>
      </c>
      <c r="X82" s="87">
        <v>2.9</v>
      </c>
      <c r="Y82" s="87">
        <v>96.9</v>
      </c>
      <c r="Z82" s="87">
        <f>SUM(W82:Y82)</f>
        <v>1300.5000000000002</v>
      </c>
      <c r="AA82" s="87">
        <v>13537.6</v>
      </c>
      <c r="AB82" s="87">
        <v>5116.8999999999996</v>
      </c>
      <c r="AC82" s="87">
        <v>8261.7999999999993</v>
      </c>
      <c r="AD82" s="87">
        <f>SUM(AA82:AC82)</f>
        <v>26916.3</v>
      </c>
      <c r="AE82" s="88">
        <f>SUM(AD82+Z82+V82+R82+N82+J82)</f>
        <v>33197.699999999997</v>
      </c>
      <c r="AF82" s="181"/>
      <c r="AG82" s="219">
        <v>2017</v>
      </c>
      <c r="AH82" s="183"/>
      <c r="AI82" s="36"/>
      <c r="AJ82" s="35"/>
    </row>
    <row r="83" spans="1:39" s="9" customFormat="1" ht="39.75" customHeight="1">
      <c r="A83" s="33"/>
      <c r="B83" s="184"/>
      <c r="C83" s="220">
        <v>2018</v>
      </c>
      <c r="D83" s="185"/>
      <c r="E83" s="186">
        <v>8180.5</v>
      </c>
      <c r="F83" s="187">
        <v>25667.599999999999</v>
      </c>
      <c r="G83" s="123">
        <v>1987.7</v>
      </c>
      <c r="H83" s="123">
        <v>625.4</v>
      </c>
      <c r="I83" s="123">
        <v>1229.2</v>
      </c>
      <c r="J83" s="123">
        <f t="shared" ref="J83:J85" si="22">SUM(I83+H83+G83)</f>
        <v>3842.3</v>
      </c>
      <c r="K83" s="123">
        <v>762.5</v>
      </c>
      <c r="L83" s="123">
        <v>2</v>
      </c>
      <c r="M83" s="123">
        <v>182.3</v>
      </c>
      <c r="N83" s="123">
        <f t="shared" ref="N83:N85" si="23">SUM(M83+L83+K83)</f>
        <v>946.8</v>
      </c>
      <c r="O83" s="123">
        <v>278</v>
      </c>
      <c r="P83" s="123">
        <v>1.2</v>
      </c>
      <c r="Q83" s="123">
        <v>110.9</v>
      </c>
      <c r="R83" s="123">
        <f t="shared" ref="R83:R85" si="24">SUM(O83:Q83)</f>
        <v>390.1</v>
      </c>
      <c r="S83" s="123">
        <v>49.8</v>
      </c>
      <c r="T83" s="123">
        <v>0.9</v>
      </c>
      <c r="U83" s="123">
        <v>25.3</v>
      </c>
      <c r="V83" s="123">
        <f t="shared" ref="V83:V85" si="25">SUM(S83:U83)</f>
        <v>76</v>
      </c>
      <c r="W83" s="123">
        <v>1548.1</v>
      </c>
      <c r="X83" s="123">
        <v>0.2</v>
      </c>
      <c r="Y83" s="123">
        <v>100.1</v>
      </c>
      <c r="Z83" s="123">
        <f t="shared" ref="Z83:Z85" si="26">SUM(W83:Y83)</f>
        <v>1648.3999999999999</v>
      </c>
      <c r="AA83" s="123">
        <v>14186.4</v>
      </c>
      <c r="AB83" s="123">
        <v>5041.8</v>
      </c>
      <c r="AC83" s="123">
        <v>7716.3</v>
      </c>
      <c r="AD83" s="123">
        <f t="shared" ref="AD83:AD85" si="27">SUM(AA83:AC83)</f>
        <v>26944.5</v>
      </c>
      <c r="AE83" s="188">
        <f t="shared" ref="AE83:AE85" si="28">SUM(AD83+Z83+V83+R83+N83+J83)</f>
        <v>33848.1</v>
      </c>
      <c r="AF83" s="185"/>
      <c r="AG83" s="220">
        <v>2018</v>
      </c>
      <c r="AH83" s="189"/>
      <c r="AI83" s="36"/>
      <c r="AJ83" s="35"/>
    </row>
    <row r="84" spans="1:39" s="9" customFormat="1" ht="39.75" customHeight="1">
      <c r="A84" s="33"/>
      <c r="B84" s="180"/>
      <c r="C84" s="221">
        <v>2019</v>
      </c>
      <c r="D84" s="181"/>
      <c r="E84" s="124">
        <v>8198</v>
      </c>
      <c r="F84" s="125">
        <v>27107.3</v>
      </c>
      <c r="G84" s="87">
        <v>2212.6</v>
      </c>
      <c r="H84" s="87">
        <v>663.1</v>
      </c>
      <c r="I84" s="87">
        <v>1180.4000000000001</v>
      </c>
      <c r="J84" s="87">
        <f t="shared" si="22"/>
        <v>4056.1</v>
      </c>
      <c r="K84" s="87">
        <v>717</v>
      </c>
      <c r="L84" s="87">
        <v>4.0999999999999996</v>
      </c>
      <c r="M84" s="87">
        <v>191.3</v>
      </c>
      <c r="N84" s="87">
        <f t="shared" si="23"/>
        <v>912.4</v>
      </c>
      <c r="O84" s="87">
        <v>308.3</v>
      </c>
      <c r="P84" s="87">
        <v>1.3</v>
      </c>
      <c r="Q84" s="87">
        <v>69.5</v>
      </c>
      <c r="R84" s="87">
        <f t="shared" si="24"/>
        <v>379.1</v>
      </c>
      <c r="S84" s="87">
        <v>38.200000000000003</v>
      </c>
      <c r="T84" s="87">
        <v>0.2</v>
      </c>
      <c r="U84" s="87">
        <v>12.7</v>
      </c>
      <c r="V84" s="87">
        <f t="shared" si="25"/>
        <v>51.100000000000009</v>
      </c>
      <c r="W84" s="87">
        <v>1531.5</v>
      </c>
      <c r="X84" s="87">
        <v>0.2</v>
      </c>
      <c r="Y84" s="87">
        <v>82.8</v>
      </c>
      <c r="Z84" s="87">
        <f t="shared" si="26"/>
        <v>1614.5</v>
      </c>
      <c r="AA84" s="87">
        <v>15165.1</v>
      </c>
      <c r="AB84" s="87">
        <v>5166.1000000000004</v>
      </c>
      <c r="AC84" s="87">
        <v>7960.9</v>
      </c>
      <c r="AD84" s="87">
        <f t="shared" si="27"/>
        <v>28292.1</v>
      </c>
      <c r="AE84" s="88">
        <f t="shared" si="28"/>
        <v>35305.299999999996</v>
      </c>
      <c r="AF84" s="181"/>
      <c r="AG84" s="221">
        <v>2019</v>
      </c>
      <c r="AH84" s="183"/>
      <c r="AI84" s="36"/>
      <c r="AJ84" s="35"/>
    </row>
    <row r="85" spans="1:39" s="9" customFormat="1" ht="39.75" customHeight="1">
      <c r="A85" s="33"/>
      <c r="B85" s="184"/>
      <c r="C85" s="222">
        <v>2020</v>
      </c>
      <c r="D85" s="185"/>
      <c r="E85" s="186">
        <v>8555.2000000000007</v>
      </c>
      <c r="F85" s="187">
        <v>28233.899999999998</v>
      </c>
      <c r="G85" s="123">
        <v>2552.9</v>
      </c>
      <c r="H85" s="123">
        <v>793.4</v>
      </c>
      <c r="I85" s="123">
        <v>1430.2</v>
      </c>
      <c r="J85" s="123">
        <f t="shared" si="22"/>
        <v>4776.5</v>
      </c>
      <c r="K85" s="123">
        <v>819.1</v>
      </c>
      <c r="L85" s="123">
        <v>3.8000000000000003</v>
      </c>
      <c r="M85" s="123">
        <v>122</v>
      </c>
      <c r="N85" s="123">
        <f t="shared" si="23"/>
        <v>944.9</v>
      </c>
      <c r="O85" s="123">
        <v>338.6</v>
      </c>
      <c r="P85" s="123">
        <v>1.8</v>
      </c>
      <c r="Q85" s="123">
        <v>70.900000000000006</v>
      </c>
      <c r="R85" s="123">
        <f t="shared" si="24"/>
        <v>411.30000000000007</v>
      </c>
      <c r="S85" s="123">
        <v>18.399999999999999</v>
      </c>
      <c r="T85" s="123">
        <v>0.4</v>
      </c>
      <c r="U85" s="123">
        <v>9.8000000000000007</v>
      </c>
      <c r="V85" s="123">
        <f t="shared" si="25"/>
        <v>28.599999999999998</v>
      </c>
      <c r="W85" s="123">
        <v>1573.5</v>
      </c>
      <c r="X85" s="123">
        <v>0.7</v>
      </c>
      <c r="Y85" s="123">
        <v>202.5</v>
      </c>
      <c r="Z85" s="123">
        <f t="shared" si="26"/>
        <v>1776.7</v>
      </c>
      <c r="AA85" s="123">
        <v>14751.3</v>
      </c>
      <c r="AB85" s="123">
        <v>5426.8</v>
      </c>
      <c r="AC85" s="123">
        <v>8673</v>
      </c>
      <c r="AD85" s="123">
        <f t="shared" si="27"/>
        <v>28851.1</v>
      </c>
      <c r="AE85" s="188">
        <f t="shared" si="28"/>
        <v>36789.1</v>
      </c>
      <c r="AF85" s="185"/>
      <c r="AG85" s="222">
        <v>2020</v>
      </c>
      <c r="AH85" s="189"/>
      <c r="AI85" s="36"/>
      <c r="AJ85" s="35"/>
    </row>
    <row r="86" spans="1:39" s="9" customFormat="1" ht="39.75" customHeight="1">
      <c r="A86" s="33"/>
      <c r="B86" s="273"/>
      <c r="C86" s="95">
        <v>2021</v>
      </c>
      <c r="D86" s="274"/>
      <c r="E86" s="275">
        <v>8837.6999999999989</v>
      </c>
      <c r="F86" s="276">
        <v>30684.600000000006</v>
      </c>
      <c r="G86" s="92">
        <v>2740.5</v>
      </c>
      <c r="H86" s="92">
        <v>905.9</v>
      </c>
      <c r="I86" s="92">
        <v>1620</v>
      </c>
      <c r="J86" s="92">
        <f t="shared" si="15"/>
        <v>5266.4</v>
      </c>
      <c r="K86" s="92">
        <v>892.4</v>
      </c>
      <c r="L86" s="92">
        <v>3.8000000000000003</v>
      </c>
      <c r="M86" s="92">
        <v>89.7</v>
      </c>
      <c r="N86" s="92">
        <f t="shared" si="16"/>
        <v>985.9</v>
      </c>
      <c r="O86" s="92">
        <v>399.2</v>
      </c>
      <c r="P86" s="92">
        <v>6.1</v>
      </c>
      <c r="Q86" s="92">
        <v>57.1</v>
      </c>
      <c r="R86" s="92">
        <f t="shared" si="17"/>
        <v>462.40000000000003</v>
      </c>
      <c r="S86" s="92">
        <v>18.399999999999999</v>
      </c>
      <c r="T86" s="92">
        <v>1.1000000000000001</v>
      </c>
      <c r="U86" s="92">
        <v>5.3</v>
      </c>
      <c r="V86" s="92">
        <f t="shared" si="18"/>
        <v>24.8</v>
      </c>
      <c r="W86" s="92">
        <v>1615</v>
      </c>
      <c r="X86" s="92">
        <v>0.8</v>
      </c>
      <c r="Y86" s="92">
        <v>178.8</v>
      </c>
      <c r="Z86" s="92">
        <f t="shared" si="19"/>
        <v>1794.6</v>
      </c>
      <c r="AA86" s="92">
        <v>15609.1</v>
      </c>
      <c r="AB86" s="92">
        <v>5803</v>
      </c>
      <c r="AC86" s="92">
        <v>9576.1</v>
      </c>
      <c r="AD86" s="92">
        <f t="shared" si="20"/>
        <v>30988.199999999997</v>
      </c>
      <c r="AE86" s="94">
        <f t="shared" si="21"/>
        <v>39522.300000000003</v>
      </c>
      <c r="AF86" s="274"/>
      <c r="AG86" s="95">
        <v>2021</v>
      </c>
      <c r="AH86" s="96"/>
      <c r="AI86" s="36"/>
      <c r="AJ86" s="35"/>
    </row>
    <row r="87" spans="1:39" s="9" customFormat="1" ht="8.1" customHeight="1">
      <c r="A87" s="33"/>
      <c r="B87" s="191"/>
      <c r="C87" s="192"/>
      <c r="D87" s="192"/>
      <c r="E87" s="192"/>
      <c r="F87" s="193"/>
      <c r="G87" s="194"/>
      <c r="H87" s="195"/>
      <c r="I87" s="196"/>
      <c r="J87" s="196"/>
      <c r="K87" s="196"/>
      <c r="L87" s="196"/>
      <c r="M87" s="196"/>
      <c r="N87" s="196"/>
      <c r="O87" s="196"/>
      <c r="P87" s="196"/>
      <c r="Q87" s="196"/>
      <c r="R87" s="197"/>
      <c r="S87" s="198"/>
      <c r="T87" s="198"/>
      <c r="U87" s="199"/>
      <c r="V87" s="196"/>
      <c r="W87" s="196"/>
      <c r="X87" s="196"/>
      <c r="Y87" s="196"/>
      <c r="Z87" s="196"/>
      <c r="AA87" s="196"/>
      <c r="AB87" s="196"/>
      <c r="AC87" s="196"/>
      <c r="AD87" s="200"/>
      <c r="AE87" s="201"/>
      <c r="AF87" s="202"/>
      <c r="AG87" s="196"/>
      <c r="AH87" s="191"/>
      <c r="AI87" s="36"/>
      <c r="AJ87" s="35"/>
    </row>
    <row r="88" spans="1:39" s="9" customFormat="1" ht="20.100000000000001" customHeight="1">
      <c r="A88" s="33"/>
      <c r="B88" s="203" t="s">
        <v>60</v>
      </c>
      <c r="C88" s="203"/>
      <c r="D88" s="192"/>
      <c r="E88" s="192"/>
      <c r="F88" s="192"/>
      <c r="G88" s="193"/>
      <c r="H88" s="194"/>
      <c r="I88" s="195"/>
      <c r="J88" s="196"/>
      <c r="K88" s="196"/>
      <c r="L88" s="196"/>
      <c r="M88" s="196"/>
      <c r="N88" s="196"/>
      <c r="O88" s="196"/>
      <c r="P88" s="196"/>
      <c r="Q88" s="196"/>
      <c r="R88" s="196"/>
      <c r="S88" s="197" t="s">
        <v>3</v>
      </c>
      <c r="T88" s="198" t="s">
        <v>3</v>
      </c>
      <c r="U88" s="198" t="s">
        <v>3</v>
      </c>
      <c r="V88" s="199"/>
      <c r="W88" s="196"/>
      <c r="X88" s="196"/>
      <c r="Y88" s="196"/>
      <c r="Z88" s="196"/>
      <c r="AA88" s="196"/>
      <c r="AB88" s="196"/>
      <c r="AC88" s="196"/>
      <c r="AD88" s="196"/>
      <c r="AE88" s="200"/>
      <c r="AF88" s="201"/>
      <c r="AG88" s="204" t="s">
        <v>61</v>
      </c>
      <c r="AH88" s="196"/>
      <c r="AI88" s="36"/>
      <c r="AJ88" s="35"/>
    </row>
    <row r="89" spans="1:39" s="9" customFormat="1" ht="20.100000000000001" customHeight="1">
      <c r="A89" s="33"/>
      <c r="B89" s="205" t="s">
        <v>62</v>
      </c>
      <c r="C89" s="205"/>
      <c r="D89" s="206"/>
      <c r="E89" s="206"/>
      <c r="F89" s="206"/>
      <c r="G89" s="206"/>
      <c r="H89" s="207"/>
      <c r="I89" s="206"/>
      <c r="J89" s="196"/>
      <c r="K89" s="196"/>
      <c r="L89" s="196"/>
      <c r="M89" s="196"/>
      <c r="N89" s="196"/>
      <c r="O89" s="196"/>
      <c r="P89" s="196"/>
      <c r="Q89" s="196"/>
      <c r="R89" s="196"/>
      <c r="S89" s="197"/>
      <c r="T89" s="198"/>
      <c r="U89" s="208"/>
      <c r="V89" s="199"/>
      <c r="W89" s="196"/>
      <c r="X89" s="196"/>
      <c r="Y89" s="196"/>
      <c r="Z89" s="196"/>
      <c r="AA89" s="196"/>
      <c r="AB89" s="196"/>
      <c r="AC89" s="196"/>
      <c r="AD89" s="196"/>
      <c r="AE89" s="200"/>
      <c r="AF89" s="209"/>
      <c r="AG89" s="48" t="s">
        <v>63</v>
      </c>
      <c r="AH89" s="210"/>
      <c r="AI89" s="36"/>
      <c r="AJ89" s="35"/>
    </row>
    <row r="90" spans="1:39" s="21" customFormat="1" ht="20.100000000000001" customHeight="1">
      <c r="B90" s="203" t="s">
        <v>64</v>
      </c>
      <c r="C90" s="203"/>
      <c r="D90" s="191"/>
      <c r="E90" s="191"/>
      <c r="F90" s="191"/>
      <c r="G90" s="211"/>
      <c r="H90" s="212"/>
      <c r="I90" s="206"/>
      <c r="J90" s="213"/>
      <c r="K90" s="213"/>
      <c r="L90" s="213"/>
      <c r="M90" s="213"/>
      <c r="N90" s="213"/>
      <c r="O90" s="214"/>
      <c r="P90" s="214"/>
      <c r="Q90" s="214"/>
      <c r="R90" s="196"/>
      <c r="S90" s="214"/>
      <c r="T90" s="198"/>
      <c r="U90" s="208"/>
      <c r="V90" s="210"/>
      <c r="W90" s="210"/>
      <c r="X90" s="210"/>
      <c r="Y90" s="210"/>
      <c r="Z90" s="210"/>
      <c r="AA90" s="210"/>
      <c r="AB90" s="210"/>
      <c r="AC90" s="210"/>
      <c r="AD90" s="210"/>
      <c r="AE90" s="200"/>
      <c r="AF90" s="201"/>
      <c r="AG90" s="204" t="s">
        <v>65</v>
      </c>
      <c r="AH90" s="215"/>
      <c r="AK90" s="22"/>
      <c r="AL90" s="22"/>
      <c r="AM90" s="22"/>
    </row>
    <row r="91" spans="1:39" s="23" customFormat="1">
      <c r="A91" s="15"/>
      <c r="B91" s="3"/>
      <c r="C91" s="17"/>
      <c r="D91" s="3"/>
      <c r="E91" s="3"/>
      <c r="F91" s="3"/>
      <c r="G91" s="4"/>
      <c r="H91" s="4"/>
      <c r="I91" s="4"/>
      <c r="J91" s="4"/>
      <c r="K91" s="4"/>
      <c r="L91" s="4"/>
      <c r="M91" s="4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5"/>
      <c r="AD91" s="6"/>
      <c r="AE91" s="1"/>
      <c r="AF91" s="7"/>
      <c r="AG91" s="5"/>
      <c r="AH91" s="2"/>
      <c r="AI91" s="15"/>
      <c r="AK91" s="24"/>
      <c r="AL91" s="14" t="s">
        <v>29</v>
      </c>
    </row>
    <row r="92" spans="1:39" s="9" customFormat="1">
      <c r="A92" s="11"/>
      <c r="B92" s="3"/>
      <c r="C92" s="17"/>
      <c r="D92" s="3"/>
      <c r="E92" s="3"/>
      <c r="F92" s="3"/>
      <c r="G92" s="4"/>
      <c r="H92" s="4"/>
      <c r="I92" s="4"/>
      <c r="J92" s="4"/>
      <c r="K92" s="4"/>
      <c r="L92" s="4"/>
      <c r="M92" s="4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5"/>
      <c r="AD92" s="6"/>
      <c r="AE92" s="1"/>
      <c r="AF92" s="7"/>
      <c r="AG92" s="5"/>
      <c r="AH92" s="2"/>
    </row>
    <row r="93" spans="1:39" s="9" customFormat="1" ht="18" customHeight="1">
      <c r="A93" s="11"/>
      <c r="B93" s="3"/>
      <c r="C93" s="17"/>
      <c r="D93" s="3"/>
      <c r="E93" s="3"/>
      <c r="F93" s="3"/>
      <c r="G93" s="4"/>
      <c r="H93" s="4"/>
      <c r="I93" s="4"/>
      <c r="J93" s="4"/>
      <c r="K93" s="4"/>
      <c r="L93" s="4"/>
      <c r="M93" s="4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5"/>
      <c r="AD93" s="6"/>
      <c r="AE93" s="1"/>
      <c r="AF93" s="7"/>
      <c r="AG93" s="5"/>
      <c r="AH93" s="2"/>
    </row>
    <row r="94" spans="1:39" s="9" customFormat="1" ht="18" customHeight="1">
      <c r="A94" s="11"/>
      <c r="B94" s="3"/>
      <c r="C94" s="17"/>
      <c r="D94" s="3"/>
      <c r="E94" s="3"/>
      <c r="F94" s="3"/>
      <c r="G94" s="4"/>
      <c r="H94" s="4"/>
      <c r="I94" s="4"/>
      <c r="J94" s="4"/>
      <c r="K94" s="4"/>
      <c r="L94" s="4"/>
      <c r="M94" s="4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5"/>
      <c r="AD94" s="6"/>
      <c r="AE94" s="1"/>
      <c r="AF94" s="7"/>
      <c r="AG94" s="5"/>
      <c r="AH94" s="2"/>
    </row>
    <row r="95" spans="1:39" s="9" customFormat="1" ht="18" customHeight="1">
      <c r="A95" s="11"/>
      <c r="B95" s="3"/>
      <c r="C95" s="17"/>
      <c r="D95" s="3"/>
      <c r="E95" s="3"/>
      <c r="F95" s="3"/>
      <c r="G95" s="4"/>
      <c r="H95" s="4"/>
      <c r="I95" s="4"/>
      <c r="J95" s="4"/>
      <c r="K95" s="4"/>
      <c r="L95" s="4"/>
      <c r="M95" s="4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5"/>
      <c r="AD95" s="6"/>
      <c r="AE95" s="1"/>
      <c r="AF95" s="7"/>
      <c r="AG95" s="5"/>
      <c r="AH95" s="2"/>
    </row>
    <row r="96" spans="1:39" s="9" customFormat="1" ht="18" customHeight="1">
      <c r="A96" s="11"/>
      <c r="B96" s="3"/>
      <c r="C96" s="17"/>
      <c r="D96" s="3"/>
      <c r="E96" s="3"/>
      <c r="F96" s="3"/>
      <c r="G96" s="4"/>
      <c r="H96" s="4"/>
      <c r="I96" s="4"/>
      <c r="J96" s="4"/>
      <c r="K96" s="4"/>
      <c r="L96" s="4"/>
      <c r="M96" s="4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5"/>
      <c r="AD96" s="6"/>
      <c r="AE96" s="1"/>
      <c r="AF96" s="7"/>
      <c r="AG96" s="5"/>
      <c r="AH96" s="2"/>
    </row>
    <row r="97" spans="1:39" s="13" customFormat="1">
      <c r="B97" s="3"/>
      <c r="C97" s="17"/>
      <c r="D97" s="3"/>
      <c r="E97" s="3"/>
      <c r="F97" s="3"/>
      <c r="G97" s="4"/>
      <c r="H97" s="4"/>
      <c r="I97" s="4"/>
      <c r="J97" s="4"/>
      <c r="K97" s="4"/>
      <c r="L97" s="4"/>
      <c r="M97" s="4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5"/>
      <c r="AD97" s="6"/>
      <c r="AE97" s="1"/>
      <c r="AF97" s="7"/>
      <c r="AG97" s="5"/>
      <c r="AH97" s="2"/>
      <c r="AK97" s="12"/>
      <c r="AL97" s="12"/>
      <c r="AM97" s="12"/>
    </row>
    <row r="98" spans="1:39" s="15" customFormat="1">
      <c r="B98" s="3"/>
      <c r="C98" s="17"/>
      <c r="D98" s="3"/>
      <c r="E98" s="3"/>
      <c r="F98" s="3"/>
      <c r="G98" s="4"/>
      <c r="H98" s="4"/>
      <c r="I98" s="4"/>
      <c r="J98" s="4"/>
      <c r="K98" s="4"/>
      <c r="L98" s="4"/>
      <c r="M98" s="4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5"/>
      <c r="AD98" s="6"/>
      <c r="AE98" s="1"/>
      <c r="AF98" s="7"/>
      <c r="AG98" s="5"/>
      <c r="AH98" s="2"/>
      <c r="AK98" s="16"/>
      <c r="AL98" s="14"/>
    </row>
    <row r="99" spans="1:39" s="9" customFormat="1">
      <c r="A99" s="11"/>
      <c r="B99" s="3"/>
      <c r="C99" s="17"/>
      <c r="D99" s="3"/>
      <c r="E99" s="3"/>
      <c r="F99" s="3"/>
      <c r="G99" s="4"/>
      <c r="H99" s="4"/>
      <c r="I99" s="4"/>
      <c r="J99" s="4"/>
      <c r="K99" s="4"/>
      <c r="L99" s="4"/>
      <c r="M99" s="4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5"/>
      <c r="AD99" s="6"/>
      <c r="AE99" s="1"/>
      <c r="AF99" s="7"/>
      <c r="AG99" s="5"/>
      <c r="AH99" s="2"/>
    </row>
  </sheetData>
  <mergeCells count="92">
    <mergeCell ref="B43:D43"/>
    <mergeCell ref="AA8:AD8"/>
    <mergeCell ref="AA9:AD9"/>
    <mergeCell ref="W8:Z8"/>
    <mergeCell ref="W9:Z9"/>
    <mergeCell ref="B35:D35"/>
    <mergeCell ref="B36:D36"/>
    <mergeCell ref="B37:D37"/>
    <mergeCell ref="B28:D28"/>
    <mergeCell ref="B38:D38"/>
    <mergeCell ref="B39:D39"/>
    <mergeCell ref="B40:D40"/>
    <mergeCell ref="B29:D29"/>
    <mergeCell ref="B30:D30"/>
    <mergeCell ref="B31:D31"/>
    <mergeCell ref="B32:D32"/>
    <mergeCell ref="B33:D33"/>
    <mergeCell ref="B34:D34"/>
    <mergeCell ref="AF42:AH42"/>
    <mergeCell ref="AF31:AH31"/>
    <mergeCell ref="AF32:AH32"/>
    <mergeCell ref="AF33:AH33"/>
    <mergeCell ref="AF34:AH34"/>
    <mergeCell ref="AF35:AH35"/>
    <mergeCell ref="B41:D41"/>
    <mergeCell ref="B42:D42"/>
    <mergeCell ref="AF43:AH43"/>
    <mergeCell ref="B20:D20"/>
    <mergeCell ref="B21:D21"/>
    <mergeCell ref="B22:D22"/>
    <mergeCell ref="B23:D23"/>
    <mergeCell ref="B24:D24"/>
    <mergeCell ref="B25:D25"/>
    <mergeCell ref="B26:D26"/>
    <mergeCell ref="B27:D27"/>
    <mergeCell ref="AF36:AH36"/>
    <mergeCell ref="AF37:AH37"/>
    <mergeCell ref="AF38:AH38"/>
    <mergeCell ref="AF39:AH39"/>
    <mergeCell ref="AF40:AH40"/>
    <mergeCell ref="AF41:AH41"/>
    <mergeCell ref="AF30:AH30"/>
    <mergeCell ref="AF29:AH29"/>
    <mergeCell ref="AF19:AH19"/>
    <mergeCell ref="AF21:AH21"/>
    <mergeCell ref="AF22:AH22"/>
    <mergeCell ref="AF23:AH23"/>
    <mergeCell ref="AF24:AH24"/>
    <mergeCell ref="AF20:AH20"/>
    <mergeCell ref="AF25:AH25"/>
    <mergeCell ref="AF26:AH26"/>
    <mergeCell ref="AF27:AH27"/>
    <mergeCell ref="AF28:AH28"/>
    <mergeCell ref="B15:D15"/>
    <mergeCell ref="B16:D16"/>
    <mergeCell ref="B17:D17"/>
    <mergeCell ref="B18:D18"/>
    <mergeCell ref="B19:D19"/>
    <mergeCell ref="AF15:AH15"/>
    <mergeCell ref="AF16:AH16"/>
    <mergeCell ref="AF17:AH17"/>
    <mergeCell ref="AF18:AH18"/>
    <mergeCell ref="AF7:AH10"/>
    <mergeCell ref="AF11:AH14"/>
    <mergeCell ref="B7:D10"/>
    <mergeCell ref="B11:D14"/>
    <mergeCell ref="B3:R3"/>
    <mergeCell ref="B4:R4"/>
    <mergeCell ref="E7:F7"/>
    <mergeCell ref="S3:AH3"/>
    <mergeCell ref="S4:AH4"/>
    <mergeCell ref="S7:AD7"/>
    <mergeCell ref="G7:R7"/>
    <mergeCell ref="E8:F8"/>
    <mergeCell ref="B46:R46"/>
    <mergeCell ref="S46:AH46"/>
    <mergeCell ref="B47:R47"/>
    <mergeCell ref="S47:AH47"/>
    <mergeCell ref="B50:D53"/>
    <mergeCell ref="E50:F50"/>
    <mergeCell ref="G50:R50"/>
    <mergeCell ref="S50:AD50"/>
    <mergeCell ref="AF50:AH53"/>
    <mergeCell ref="E51:F51"/>
    <mergeCell ref="B54:D57"/>
    <mergeCell ref="AF54:AH57"/>
    <mergeCell ref="K51:N51"/>
    <mergeCell ref="O51:R51"/>
    <mergeCell ref="S51:V51"/>
    <mergeCell ref="K52:N52"/>
    <mergeCell ref="O52:R52"/>
    <mergeCell ref="S52:V52"/>
  </mergeCells>
  <phoneticPr fontId="0" type="noConversion"/>
  <printOptions horizontalCentered="1"/>
  <pageMargins left="0.62992125984251968" right="0.62992125984251968" top="0.78740157480314965" bottom="0.98425196850393704" header="0.51181102362204722" footer="0.51181102362204722"/>
  <pageSetup paperSize="9" scale="50" pageOrder="overThenDown" orientation="portrait" r:id="rId1"/>
  <headerFooter alignWithMargins="0">
    <oddFooter>&amp;C&amp;"Times New Roman (Arabic),Regular"&amp;22-20-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11</vt:lpstr>
      <vt:lpstr>'11'!Print_Area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Wael I. Elmahadin</cp:lastModifiedBy>
  <cp:lastPrinted>2018-05-08T06:36:40Z</cp:lastPrinted>
  <dcterms:created xsi:type="dcterms:W3CDTF">2004-07-11T19:14:27Z</dcterms:created>
  <dcterms:modified xsi:type="dcterms:W3CDTF">2022-06-16T07:18:29Z</dcterms:modified>
</cp:coreProperties>
</file>