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we-83079\Desktop\النشرة السنوية\"/>
    </mc:Choice>
  </mc:AlternateContent>
  <bookViews>
    <workbookView xWindow="0" yWindow="0" windowWidth="21600" windowHeight="9000"/>
  </bookViews>
  <sheets>
    <sheet name="2" sheetId="1" r:id="rId1"/>
  </sheets>
  <definedNames>
    <definedName name="_xlnm.Database">'2'!$L$9</definedName>
    <definedName name="_xlnm.Print_Area" localSheetId="0">'2'!$C$50:$P$102</definedName>
  </definedNames>
  <calcPr calcId="162913"/>
</workbook>
</file>

<file path=xl/calcChain.xml><?xml version="1.0" encoding="utf-8"?>
<calcChain xmlns="http://schemas.openxmlformats.org/spreadsheetml/2006/main">
  <c r="L94" i="1" l="1"/>
  <c r="H94" i="1"/>
  <c r="D94" i="1" s="1"/>
  <c r="C94" i="1" s="1"/>
  <c r="L93" i="1" l="1"/>
  <c r="H93" i="1"/>
  <c r="D93" i="1" s="1"/>
  <c r="C93" i="1" s="1"/>
  <c r="L92" i="1" l="1"/>
  <c r="H92" i="1"/>
  <c r="D92" i="1" s="1"/>
  <c r="C92" i="1" s="1"/>
  <c r="L91" i="1" l="1"/>
  <c r="H91" i="1"/>
  <c r="D91" i="1"/>
  <c r="C91" i="1"/>
  <c r="L95" i="1"/>
  <c r="H95" i="1"/>
  <c r="D95" i="1" s="1"/>
  <c r="H90" i="1"/>
  <c r="D90" i="1"/>
  <c r="C90" i="1"/>
  <c r="L90" i="1"/>
  <c r="D89" i="1"/>
  <c r="C89" i="1"/>
  <c r="H89" i="1"/>
  <c r="L89" i="1"/>
  <c r="L88" i="1"/>
  <c r="H88" i="1"/>
  <c r="D88" i="1"/>
  <c r="C88" i="1"/>
  <c r="L87" i="1"/>
  <c r="H87" i="1"/>
  <c r="D87" i="1"/>
  <c r="C87" i="1"/>
  <c r="L86" i="1"/>
  <c r="C86" i="1"/>
  <c r="D86" i="1"/>
  <c r="L85" i="1"/>
  <c r="H85" i="1"/>
  <c r="D85" i="1"/>
  <c r="C85" i="1"/>
  <c r="L84" i="1"/>
  <c r="H84" i="1"/>
  <c r="D84" i="1"/>
  <c r="C84" i="1"/>
  <c r="L83" i="1"/>
  <c r="H83" i="1"/>
  <c r="D83" i="1"/>
  <c r="C83" i="1"/>
  <c r="L82" i="1"/>
  <c r="H82" i="1"/>
  <c r="D82" i="1"/>
  <c r="C82" i="1"/>
  <c r="L81" i="1"/>
  <c r="H81" i="1"/>
  <c r="D81" i="1"/>
  <c r="C81" i="1"/>
  <c r="L80" i="1"/>
  <c r="H80" i="1"/>
  <c r="D80" i="1"/>
  <c r="C80" i="1"/>
  <c r="L79" i="1"/>
  <c r="H79" i="1"/>
  <c r="D79" i="1"/>
  <c r="C79" i="1"/>
  <c r="L78" i="1"/>
  <c r="H78" i="1"/>
  <c r="D78" i="1"/>
  <c r="C78" i="1"/>
  <c r="L77" i="1"/>
  <c r="H77" i="1"/>
  <c r="D77" i="1"/>
  <c r="C77" i="1"/>
  <c r="L76" i="1"/>
  <c r="H76" i="1"/>
  <c r="D76" i="1"/>
  <c r="C76" i="1"/>
  <c r="P75" i="1"/>
  <c r="P76" i="1"/>
  <c r="P77" i="1"/>
  <c r="L75" i="1"/>
  <c r="H75" i="1"/>
  <c r="D75" i="1"/>
  <c r="C75" i="1"/>
  <c r="L74" i="1"/>
  <c r="H74" i="1"/>
  <c r="D74" i="1"/>
  <c r="C74" i="1"/>
  <c r="L73" i="1"/>
  <c r="H73" i="1"/>
  <c r="D73" i="1"/>
  <c r="C73" i="1"/>
  <c r="L72" i="1"/>
  <c r="H72" i="1"/>
  <c r="D72" i="1"/>
  <c r="C72" i="1"/>
  <c r="L71" i="1"/>
  <c r="H71" i="1"/>
  <c r="D71" i="1"/>
  <c r="C71" i="1"/>
  <c r="L70" i="1"/>
  <c r="H70" i="1"/>
  <c r="D70" i="1"/>
  <c r="C70" i="1"/>
  <c r="L69" i="1"/>
  <c r="H69" i="1"/>
  <c r="D69" i="1"/>
  <c r="C69" i="1"/>
  <c r="L68" i="1"/>
  <c r="H68" i="1"/>
  <c r="D68" i="1"/>
  <c r="C68" i="1"/>
  <c r="L67" i="1"/>
  <c r="H67" i="1"/>
  <c r="D67" i="1"/>
  <c r="C67" i="1"/>
  <c r="L66" i="1"/>
  <c r="H66" i="1"/>
  <c r="D66" i="1"/>
  <c r="C66" i="1"/>
  <c r="D16" i="1"/>
  <c r="I16" i="1"/>
  <c r="C16" i="1" s="1"/>
  <c r="D17" i="1"/>
  <c r="I17" i="1"/>
  <c r="C17" i="1" s="1"/>
  <c r="N17" i="1"/>
  <c r="O18" i="1"/>
  <c r="O19" i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I18" i="1"/>
  <c r="C18" i="1"/>
  <c r="D19" i="1"/>
  <c r="I19" i="1"/>
  <c r="C19" i="1"/>
  <c r="D20" i="1"/>
  <c r="I20" i="1"/>
  <c r="C20" i="1" s="1"/>
  <c r="D21" i="1"/>
  <c r="I21" i="1"/>
  <c r="C21" i="1" s="1"/>
  <c r="D22" i="1"/>
  <c r="I22" i="1"/>
  <c r="C22" i="1" s="1"/>
  <c r="D23" i="1"/>
  <c r="J23" i="1"/>
  <c r="I23" i="1"/>
  <c r="C23" i="1" s="1"/>
  <c r="M23" i="1"/>
  <c r="J24" i="1"/>
  <c r="I24" i="1"/>
  <c r="C24" i="1" s="1"/>
  <c r="D25" i="1"/>
  <c r="J25" i="1"/>
  <c r="I25" i="1"/>
  <c r="C25" i="1" s="1"/>
  <c r="D26" i="1"/>
  <c r="J26" i="1"/>
  <c r="I26" i="1"/>
  <c r="C26" i="1" s="1"/>
  <c r="D27" i="1"/>
  <c r="J27" i="1"/>
  <c r="I27" i="1"/>
  <c r="C27" i="1" s="1"/>
  <c r="L27" i="1"/>
  <c r="D28" i="1"/>
  <c r="J28" i="1"/>
  <c r="I28" i="1"/>
  <c r="C28" i="1" s="1"/>
  <c r="K28" i="1"/>
  <c r="L28" i="1"/>
  <c r="D29" i="1"/>
  <c r="J29" i="1"/>
  <c r="K29" i="1"/>
  <c r="I29" i="1"/>
  <c r="C29" i="1" s="1"/>
  <c r="L29" i="1"/>
  <c r="D30" i="1"/>
  <c r="L30" i="1"/>
  <c r="I30" i="1"/>
  <c r="C30" i="1" s="1"/>
  <c r="M30" i="1"/>
  <c r="D31" i="1"/>
  <c r="L31" i="1"/>
  <c r="I31" i="1"/>
  <c r="C31" i="1" s="1"/>
  <c r="M31" i="1"/>
  <c r="D32" i="1"/>
  <c r="J32" i="1"/>
  <c r="I32" i="1"/>
  <c r="C32" i="1"/>
  <c r="K32" i="1"/>
  <c r="M32" i="1"/>
  <c r="D33" i="1"/>
  <c r="J33" i="1"/>
  <c r="K33" i="1"/>
  <c r="I33" i="1"/>
  <c r="C33" i="1" s="1"/>
  <c r="L33" i="1"/>
  <c r="M33" i="1"/>
  <c r="J34" i="1"/>
  <c r="I34" i="1"/>
  <c r="C34" i="1" s="1"/>
  <c r="K34" i="1"/>
  <c r="L34" i="1"/>
  <c r="M34" i="1"/>
  <c r="D35" i="1"/>
  <c r="J35" i="1"/>
  <c r="I35" i="1"/>
  <c r="C35" i="1" s="1"/>
  <c r="K35" i="1"/>
  <c r="L35" i="1"/>
  <c r="M35" i="1"/>
  <c r="D36" i="1"/>
  <c r="J36" i="1"/>
  <c r="I36" i="1"/>
  <c r="C36" i="1" s="1"/>
  <c r="K36" i="1"/>
  <c r="L36" i="1"/>
  <c r="M36" i="1"/>
  <c r="D37" i="1"/>
  <c r="J37" i="1"/>
  <c r="K37" i="1"/>
  <c r="I37" i="1"/>
  <c r="C37" i="1" s="1"/>
  <c r="L37" i="1"/>
  <c r="M37" i="1"/>
  <c r="D38" i="1"/>
  <c r="J38" i="1"/>
  <c r="I38" i="1"/>
  <c r="C38" i="1"/>
  <c r="K38" i="1"/>
  <c r="L38" i="1"/>
  <c r="M38" i="1"/>
  <c r="J39" i="1"/>
  <c r="I39" i="1"/>
  <c r="C39" i="1" s="1"/>
  <c r="K39" i="1"/>
  <c r="L39" i="1"/>
  <c r="J40" i="1"/>
  <c r="I40" i="1"/>
  <c r="C40" i="1" s="1"/>
  <c r="K40" i="1"/>
  <c r="L40" i="1"/>
  <c r="M40" i="1"/>
  <c r="K41" i="1"/>
  <c r="I41" i="1"/>
  <c r="C41" i="1" s="1"/>
  <c r="L41" i="1"/>
  <c r="M41" i="1"/>
  <c r="K42" i="1"/>
  <c r="I42" i="1"/>
  <c r="C42" i="1" s="1"/>
  <c r="L42" i="1"/>
  <c r="K43" i="1"/>
  <c r="I43" i="1"/>
  <c r="C43" i="1" s="1"/>
  <c r="L43" i="1"/>
  <c r="K44" i="1"/>
  <c r="I44" i="1"/>
  <c r="C44" i="1" s="1"/>
  <c r="L44" i="1"/>
  <c r="C95" i="1" l="1"/>
</calcChain>
</file>

<file path=xl/sharedStrings.xml><?xml version="1.0" encoding="utf-8"?>
<sst xmlns="http://schemas.openxmlformats.org/spreadsheetml/2006/main" count="174" uniqueCount="122">
  <si>
    <t xml:space="preserve"> </t>
  </si>
  <si>
    <t>عرض</t>
  </si>
  <si>
    <t>البلديات</t>
  </si>
  <si>
    <t>القطاع</t>
  </si>
  <si>
    <t>الاخرى</t>
  </si>
  <si>
    <t>والاحتياطيات</t>
  </si>
  <si>
    <t>المطلوبات</t>
  </si>
  <si>
    <t>الودائع</t>
  </si>
  <si>
    <t>شبه</t>
  </si>
  <si>
    <t>النقد</t>
  </si>
  <si>
    <t>والمؤسسات</t>
  </si>
  <si>
    <t>الخاص</t>
  </si>
  <si>
    <t>الموجودات</t>
  </si>
  <si>
    <t>نهاية</t>
  </si>
  <si>
    <t>والمخصصات</t>
  </si>
  <si>
    <t>الحكومية</t>
  </si>
  <si>
    <t>الحكومة</t>
  </si>
  <si>
    <t>الفترة</t>
  </si>
  <si>
    <t>Capital,</t>
  </si>
  <si>
    <t>Claims on</t>
  </si>
  <si>
    <t>Other</t>
  </si>
  <si>
    <t>Reserves</t>
  </si>
  <si>
    <t>Govern-</t>
  </si>
  <si>
    <t>Money</t>
  </si>
  <si>
    <t>Assets</t>
  </si>
  <si>
    <t>Municipalities</t>
  </si>
  <si>
    <t>Private</t>
  </si>
  <si>
    <t>End of</t>
  </si>
  <si>
    <t>Items</t>
  </si>
  <si>
    <t>and</t>
  </si>
  <si>
    <t>Foreign</t>
  </si>
  <si>
    <t>ment</t>
  </si>
  <si>
    <t>Quasi-</t>
  </si>
  <si>
    <t>Supply</t>
  </si>
  <si>
    <t>and Public</t>
  </si>
  <si>
    <t>Sector</t>
  </si>
  <si>
    <t xml:space="preserve">Foreign </t>
  </si>
  <si>
    <t>Period</t>
  </si>
  <si>
    <t>(Net)</t>
  </si>
  <si>
    <t>Allowances</t>
  </si>
  <si>
    <t>Liabilities</t>
  </si>
  <si>
    <t>Deposits</t>
  </si>
  <si>
    <t>(M1)</t>
  </si>
  <si>
    <t>رأس المال</t>
  </si>
  <si>
    <t>(ع١)</t>
  </si>
  <si>
    <t>=</t>
  </si>
  <si>
    <t>مليون دينار</t>
  </si>
  <si>
    <t>الديون على</t>
  </si>
  <si>
    <t>(صافي)</t>
  </si>
  <si>
    <t xml:space="preserve">JD Million </t>
  </si>
  <si>
    <t xml:space="preserve"> =</t>
  </si>
  <si>
    <t xml:space="preserve">(1)  :  يشتمل على البنك المركزي الاردني والبنوك المرخصة. </t>
  </si>
  <si>
    <t>(2)  :  يشتمل على ديون المؤسسات المالية.</t>
  </si>
  <si>
    <t>(3)  :  يشتمل على ديون مؤسسات الاقراض المتخصصة.</t>
  </si>
  <si>
    <t xml:space="preserve">  (2) :  Include Claims on Financial Institutions.</t>
  </si>
  <si>
    <t xml:space="preserve">  (3) :  Include Claims on Specialized Credit Iinstitutions.</t>
  </si>
  <si>
    <t>الأجنبية</t>
  </si>
  <si>
    <t xml:space="preserve">  (1) :  Includes Central Bank of Jordan and Licensed Banks.</t>
  </si>
  <si>
    <r>
      <t>جدول رقم (3) : المسح النقدي للجهاز المصرفي</t>
    </r>
    <r>
      <rPr>
        <b/>
        <vertAlign val="superscript"/>
        <sz val="14"/>
        <rFont val="Times New Roman"/>
        <family val="1"/>
      </rPr>
      <t>(1)</t>
    </r>
  </si>
  <si>
    <r>
      <t>TABLE NO.(3) : MONETARY  SURVEY OF THE BANKING SYSTEM</t>
    </r>
    <r>
      <rPr>
        <b/>
        <vertAlign val="superscript"/>
        <sz val="14"/>
        <rFont val="Times New Roman"/>
        <family val="1"/>
      </rPr>
      <t>(1)</t>
    </r>
    <r>
      <rPr>
        <b/>
        <sz val="14"/>
        <rFont val="Times New Roman"/>
        <family val="1"/>
      </rPr>
      <t xml:space="preserve"> </t>
    </r>
    <r>
      <rPr>
        <b/>
        <sz val="18"/>
        <rFont val="Times New Roman"/>
        <family val="1"/>
      </rPr>
      <t xml:space="preserve">    </t>
    </r>
  </si>
  <si>
    <r>
      <t xml:space="preserve"> </t>
    </r>
    <r>
      <rPr>
        <vertAlign val="superscript"/>
        <sz val="18"/>
        <rFont val="Times New Roman"/>
        <family val="1"/>
      </rPr>
      <t>(3)</t>
    </r>
    <r>
      <rPr>
        <sz val="18"/>
        <rFont val="Times New Roman"/>
        <family val="1"/>
      </rPr>
      <t xml:space="preserve"> العامة </t>
    </r>
  </si>
  <si>
    <r>
      <t xml:space="preserve">(مقيم) </t>
    </r>
    <r>
      <rPr>
        <vertAlign val="superscript"/>
        <sz val="18"/>
        <rFont val="Times New Roman"/>
        <family val="1"/>
      </rPr>
      <t>(2)</t>
    </r>
  </si>
  <si>
    <r>
      <t>Entities</t>
    </r>
    <r>
      <rPr>
        <vertAlign val="superscript"/>
        <sz val="18"/>
        <rFont val="Times New Roman"/>
        <family val="1"/>
      </rPr>
      <t xml:space="preserve"> (3)</t>
    </r>
  </si>
  <si>
    <r>
      <t>(Resident)</t>
    </r>
    <r>
      <rPr>
        <vertAlign val="superscript"/>
        <sz val="18"/>
        <rFont val="Times New Roman"/>
        <family val="1"/>
      </rPr>
      <t>(2)</t>
    </r>
  </si>
  <si>
    <r>
      <t xml:space="preserve">جدول رقم (3) : المسح النقدي للجهاز المصرفي  (تابع) </t>
    </r>
    <r>
      <rPr>
        <b/>
        <vertAlign val="superscript"/>
        <sz val="14"/>
        <rFont val="Times New Roman"/>
        <family val="1"/>
      </rPr>
      <t xml:space="preserve">(1) </t>
    </r>
  </si>
  <si>
    <r>
      <t>TABLE NO.(3) : MONETARY SURVEY OF THE BANKING SYSTEM (CONTINUED)</t>
    </r>
    <r>
      <rPr>
        <b/>
        <vertAlign val="superscript"/>
        <sz val="12"/>
        <rFont val="Times New Roman"/>
        <family val="1"/>
      </rPr>
      <t>(1)</t>
    </r>
    <r>
      <rPr>
        <b/>
        <sz val="12"/>
        <rFont val="Times New Roman"/>
        <family val="1"/>
      </rPr>
      <t xml:space="preserve">     </t>
    </r>
  </si>
  <si>
    <t>Domestic Assets (Net)</t>
  </si>
  <si>
    <t>(الموجودات المحلية (صافي</t>
  </si>
  <si>
    <t>الموجودات الاجنبية (صافي)</t>
  </si>
  <si>
    <t>صافي الديون على القطاع العام</t>
  </si>
  <si>
    <t>Foreign Assets (Net)</t>
  </si>
  <si>
    <t>الديون</t>
  </si>
  <si>
    <t>Net Claims on Public Sector</t>
  </si>
  <si>
    <t>على</t>
  </si>
  <si>
    <t>صافي الديون</t>
  </si>
  <si>
    <t>صافي</t>
  </si>
  <si>
    <t>على الحكومة</t>
  </si>
  <si>
    <t>العوامل</t>
  </si>
  <si>
    <t>المؤسسات</t>
  </si>
  <si>
    <t>المركزية</t>
  </si>
  <si>
    <t xml:space="preserve">المركزية </t>
  </si>
  <si>
    <t>البنوك</t>
  </si>
  <si>
    <t>البنك</t>
  </si>
  <si>
    <t>النقد(ع٢)</t>
  </si>
  <si>
    <t>المجموع</t>
  </si>
  <si>
    <r>
      <t xml:space="preserve">المالية </t>
    </r>
    <r>
      <rPr>
        <vertAlign val="superscript"/>
        <sz val="15"/>
        <rFont val="Times New Roman"/>
        <family val="1"/>
      </rPr>
      <t>(6)</t>
    </r>
  </si>
  <si>
    <t>(مقيم)</t>
  </si>
  <si>
    <r>
      <t xml:space="preserve">العامة </t>
    </r>
    <r>
      <rPr>
        <vertAlign val="superscript"/>
        <sz val="15"/>
        <rFont val="Times New Roman"/>
        <family val="1"/>
      </rPr>
      <t>(5)</t>
    </r>
  </si>
  <si>
    <t>بموازنات مستقلة</t>
  </si>
  <si>
    <t>ضمن الموازنة</t>
  </si>
  <si>
    <t>المرخصة</t>
  </si>
  <si>
    <t>المركزي</t>
  </si>
  <si>
    <t>Net Claims</t>
  </si>
  <si>
    <t>on Central</t>
  </si>
  <si>
    <t>Financial</t>
  </si>
  <si>
    <t>Public</t>
  </si>
  <si>
    <t>Gov., Own</t>
  </si>
  <si>
    <t>Gov., General</t>
  </si>
  <si>
    <t>Licensed</t>
  </si>
  <si>
    <t>Central</t>
  </si>
  <si>
    <t>(M2)</t>
  </si>
  <si>
    <t>Total</t>
  </si>
  <si>
    <r>
      <t>Institutions</t>
    </r>
    <r>
      <rPr>
        <vertAlign val="superscript"/>
        <sz val="15"/>
        <rFont val="Times New Roman"/>
        <family val="1"/>
      </rPr>
      <t>(6)</t>
    </r>
  </si>
  <si>
    <t>(Resident)</t>
  </si>
  <si>
    <r>
      <t>Entities</t>
    </r>
    <r>
      <rPr>
        <vertAlign val="superscript"/>
        <sz val="15"/>
        <rFont val="Times New Roman"/>
        <family val="1"/>
      </rPr>
      <t>(5)</t>
    </r>
  </si>
  <si>
    <t>Budget</t>
  </si>
  <si>
    <t>Banks</t>
  </si>
  <si>
    <t>Bank</t>
  </si>
  <si>
    <r>
      <rPr>
        <vertAlign val="superscript"/>
        <sz val="12"/>
        <rFont val="Times New Roman"/>
        <family val="1"/>
      </rPr>
      <t>(4)</t>
    </r>
    <r>
      <rPr>
        <sz val="16"/>
        <rFont val="Times New Roman"/>
        <family val="1"/>
      </rPr>
      <t>1993</t>
    </r>
  </si>
  <si>
    <r>
      <t xml:space="preserve"> </t>
    </r>
    <r>
      <rPr>
        <vertAlign val="superscript"/>
        <sz val="14"/>
        <rFont val="Times New Roman"/>
        <family val="1"/>
      </rPr>
      <t>(7)</t>
    </r>
    <r>
      <rPr>
        <sz val="16"/>
        <rFont val="Times New Roman"/>
        <family val="1"/>
      </rPr>
      <t>1998</t>
    </r>
  </si>
  <si>
    <t xml:space="preserve">  (4) :  Effective December 1993, Data were Reclassified According to New  </t>
  </si>
  <si>
    <t>(4)  :  تم اعادة تصنيف البيانات اعتبارا من كانون اول 1993</t>
  </si>
  <si>
    <t xml:space="preserve">           Definitions of Monetary Sectors.</t>
  </si>
  <si>
    <t xml:space="preserve">          بموجب تعاريف جديدة للقطاعات النقدية.</t>
  </si>
  <si>
    <t xml:space="preserve">  (5) :  Includes Municipalities &amp; Local Governments, Public non-Financial </t>
  </si>
  <si>
    <t>(5)  :  تشتمل على البلديات والمجالس القروية والمؤسسات العامة غير المالية</t>
  </si>
  <si>
    <t xml:space="preserve">          Institutions and Social Security Corporation.</t>
  </si>
  <si>
    <t xml:space="preserve">          ومؤسسة الضمان الاجتماعي.</t>
  </si>
  <si>
    <t xml:space="preserve">  (6) :  Includes non-Banking Financial Institutions and other Banking Institutions.</t>
  </si>
  <si>
    <t>(6)  :  تشتمل  على  المؤسسات المالية غير المصرفية والمؤسسات  المصرفية  الاخرى.</t>
  </si>
  <si>
    <t xml:space="preserve">  (7) :  Public Sector Accounts were Reclassified.</t>
  </si>
  <si>
    <t>(7)  :  تم اعادة تصنيف حسابات مؤسسات القطاع العام.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</si>
</sst>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>
    <font>
      <sz val="10"/>
      <name val="Geneva"/>
    </font>
    <font>
      <b/>
      <sz val="18"/>
      <name val="Times New Roman (Arabic)"/>
      <family val="1"/>
      <charset val="178"/>
    </font>
    <font>
      <b/>
      <sz val="12"/>
      <name val="Times New Roman (Arabic)"/>
      <family val="1"/>
      <charset val="178"/>
    </font>
    <font>
      <sz val="14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20"/>
      <name val="Times New Roman (Arabic)"/>
      <family val="1"/>
      <charset val="178"/>
    </font>
    <font>
      <sz val="15"/>
      <name val="Times New Roman (Arabic)"/>
      <family val="1"/>
      <charset val="178"/>
    </font>
    <font>
      <b/>
      <sz val="15"/>
      <name val="Times New Roman (Arabic)"/>
      <family val="1"/>
      <charset val="178"/>
    </font>
    <font>
      <sz val="18"/>
      <name val="Times New Roman"/>
      <family val="1"/>
    </font>
    <font>
      <b/>
      <vertAlign val="superscript"/>
      <sz val="14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vertAlign val="superscript"/>
      <sz val="18"/>
      <name val="Times New Roman"/>
      <family val="1"/>
    </font>
    <font>
      <sz val="16"/>
      <name val="Times New Roman"/>
      <family val="1"/>
    </font>
    <font>
      <b/>
      <vertAlign val="superscript"/>
      <sz val="12"/>
      <name val="Times New Roman"/>
      <family val="1"/>
    </font>
    <font>
      <b/>
      <sz val="12"/>
      <name val="Times New Roman"/>
      <family val="1"/>
    </font>
    <font>
      <vertAlign val="superscript"/>
      <sz val="15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4"/>
      <name val="Times New Roman"/>
      <family val="1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4"/>
      <name val="Cambria"/>
      <family val="1"/>
      <scheme val="major"/>
    </font>
    <font>
      <sz val="14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indexed="12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8"/>
      <name val="Cambria"/>
      <family val="1"/>
      <scheme val="major"/>
    </font>
    <font>
      <b/>
      <i/>
      <sz val="18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12"/>
      <name val="Cambria"/>
      <family val="1"/>
      <scheme val="major"/>
    </font>
    <font>
      <sz val="14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sz val="16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1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164" fontId="4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Alignment="1">
      <alignment horizontal="left" vertical="center"/>
    </xf>
    <xf numFmtId="0" fontId="4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2" fontId="4" fillId="0" borderId="0" xfId="0" applyNumberFormat="1" applyFont="1" applyFill="1" applyBorder="1"/>
    <xf numFmtId="164" fontId="0" fillId="0" borderId="0" xfId="0" applyNumberFormat="1"/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Border="1"/>
    <xf numFmtId="0" fontId="25" fillId="0" borderId="0" xfId="0" applyFont="1"/>
    <xf numFmtId="164" fontId="26" fillId="0" borderId="0" xfId="0" applyNumberFormat="1" applyFont="1" applyBorder="1"/>
    <xf numFmtId="0" fontId="26" fillId="0" borderId="0" xfId="0" applyFont="1"/>
    <xf numFmtId="0" fontId="27" fillId="0" borderId="0" xfId="0" applyFont="1"/>
    <xf numFmtId="0" fontId="27" fillId="0" borderId="0" xfId="0" applyFont="1" applyBorder="1"/>
    <xf numFmtId="0" fontId="28" fillId="0" borderId="0" xfId="0" applyFont="1" applyAlignment="1">
      <alignment horizontal="left" vertical="center"/>
    </xf>
    <xf numFmtId="0" fontId="28" fillId="0" borderId="2" xfId="0" applyFont="1" applyBorder="1"/>
    <xf numFmtId="0" fontId="29" fillId="0" borderId="2" xfId="0" applyFont="1" applyBorder="1"/>
    <xf numFmtId="164" fontId="29" fillId="0" borderId="2" xfId="0" applyNumberFormat="1" applyFont="1" applyBorder="1"/>
    <xf numFmtId="0" fontId="28" fillId="0" borderId="0" xfId="0" applyFont="1" applyBorder="1"/>
    <xf numFmtId="0" fontId="29" fillId="0" borderId="0" xfId="0" applyFont="1" applyBorder="1" applyAlignment="1">
      <alignment horizontal="right"/>
    </xf>
    <xf numFmtId="0" fontId="28" fillId="2" borderId="3" xfId="0" applyFont="1" applyFill="1" applyBorder="1" applyAlignment="1">
      <alignment horizontal="left" vertical="center"/>
    </xf>
    <xf numFmtId="0" fontId="28" fillId="2" borderId="10" xfId="0" applyFont="1" applyFill="1" applyBorder="1"/>
    <xf numFmtId="0" fontId="29" fillId="2" borderId="10" xfId="0" applyFont="1" applyFill="1" applyBorder="1"/>
    <xf numFmtId="164" fontId="29" fillId="2" borderId="10" xfId="0" applyNumberFormat="1" applyFont="1" applyFill="1" applyBorder="1"/>
    <xf numFmtId="0" fontId="28" fillId="2" borderId="11" xfId="0" applyFont="1" applyFill="1" applyBorder="1"/>
    <xf numFmtId="0" fontId="28" fillId="2" borderId="4" xfId="0" applyFont="1" applyFill="1" applyBorder="1"/>
    <xf numFmtId="0" fontId="28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/>
    </xf>
    <xf numFmtId="164" fontId="21" fillId="2" borderId="12" xfId="0" applyNumberFormat="1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Continuous"/>
    </xf>
    <xf numFmtId="0" fontId="21" fillId="2" borderId="12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21" fillId="2" borderId="12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Continuous"/>
    </xf>
    <xf numFmtId="0" fontId="21" fillId="2" borderId="6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21" fillId="2" borderId="12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Continuous" vertical="center"/>
    </xf>
    <xf numFmtId="0" fontId="21" fillId="2" borderId="12" xfId="0" applyFont="1" applyFill="1" applyBorder="1" applyAlignment="1">
      <alignment horizontal="centerContinuous" vertical="center" readingOrder="2"/>
    </xf>
    <xf numFmtId="0" fontId="30" fillId="2" borderId="12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Continuous" vertical="center"/>
    </xf>
    <xf numFmtId="0" fontId="30" fillId="3" borderId="7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164" fontId="21" fillId="2" borderId="15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Continuous" vertical="center"/>
    </xf>
    <xf numFmtId="0" fontId="21" fillId="2" borderId="17" xfId="0" applyFont="1" applyFill="1" applyBorder="1" applyAlignment="1">
      <alignment horizontal="centerContinuous"/>
    </xf>
    <xf numFmtId="0" fontId="30" fillId="2" borderId="18" xfId="0" applyFont="1" applyFill="1" applyBorder="1" applyAlignment="1">
      <alignment horizontal="center"/>
    </xf>
    <xf numFmtId="164" fontId="21" fillId="0" borderId="19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30" fillId="0" borderId="12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Continuous" vertical="center"/>
    </xf>
    <xf numFmtId="164" fontId="21" fillId="0" borderId="20" xfId="0" applyNumberFormat="1" applyFont="1" applyBorder="1" applyAlignment="1">
      <alignment horizontal="center" vertical="center"/>
    </xf>
    <xf numFmtId="164" fontId="21" fillId="4" borderId="6" xfId="0" applyNumberFormat="1" applyFont="1" applyFill="1" applyBorder="1" applyAlignment="1">
      <alignment horizontal="center" vertical="center"/>
    </xf>
    <xf numFmtId="164" fontId="21" fillId="4" borderId="0" xfId="0" applyNumberFormat="1" applyFont="1" applyFill="1" applyBorder="1" applyAlignment="1">
      <alignment horizontal="center" vertical="center"/>
    </xf>
    <xf numFmtId="164" fontId="21" fillId="4" borderId="0" xfId="0" applyNumberFormat="1" applyFont="1" applyFill="1" applyAlignment="1">
      <alignment horizontal="center" vertical="center"/>
    </xf>
    <xf numFmtId="164" fontId="30" fillId="4" borderId="12" xfId="0" applyNumberFormat="1" applyFont="1" applyFill="1" applyBorder="1" applyAlignment="1">
      <alignment horizontal="center" vertical="center"/>
    </xf>
    <xf numFmtId="164" fontId="21" fillId="4" borderId="0" xfId="0" applyNumberFormat="1" applyFont="1" applyFill="1" applyAlignment="1">
      <alignment horizontal="centerContinuous" vertical="center"/>
    </xf>
    <xf numFmtId="164" fontId="21" fillId="4" borderId="20" xfId="0" applyNumberFormat="1" applyFont="1" applyFill="1" applyBorder="1" applyAlignment="1">
      <alignment horizontal="center" vertical="center"/>
    </xf>
    <xf numFmtId="164" fontId="21" fillId="0" borderId="6" xfId="0" applyNumberFormat="1" applyFont="1" applyBorder="1" applyAlignment="1">
      <alignment horizontal="center" vertical="center"/>
    </xf>
    <xf numFmtId="164" fontId="21" fillId="0" borderId="8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30" fillId="0" borderId="21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Continuous" vertical="center"/>
    </xf>
    <xf numFmtId="164" fontId="21" fillId="0" borderId="22" xfId="0" applyNumberFormat="1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Continuous" vertical="center"/>
    </xf>
    <xf numFmtId="1" fontId="21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64" fontId="23" fillId="0" borderId="0" xfId="0" applyNumberFormat="1" applyFont="1" applyBorder="1" applyAlignment="1">
      <alignment horizontal="center"/>
    </xf>
    <xf numFmtId="164" fontId="23" fillId="0" borderId="0" xfId="0" applyNumberFormat="1" applyFont="1" applyBorder="1"/>
    <xf numFmtId="0" fontId="25" fillId="0" borderId="0" xfId="0" applyFont="1" applyBorder="1"/>
    <xf numFmtId="0" fontId="25" fillId="0" borderId="0" xfId="0" applyFont="1" applyBorder="1" applyAlignment="1">
      <alignment horizontal="right" vertical="center" readingOrder="2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30" fillId="0" borderId="0" xfId="0" applyFont="1" applyBorder="1" applyAlignment="1">
      <alignment horizontal="centerContinuous" vertical="center"/>
    </xf>
    <xf numFmtId="164" fontId="32" fillId="0" borderId="0" xfId="0" applyNumberFormat="1" applyFont="1" applyBorder="1" applyAlignment="1">
      <alignment horizontal="centerContinuous" vertical="center"/>
    </xf>
    <xf numFmtId="0" fontId="32" fillId="0" borderId="0" xfId="0" applyFont="1" applyAlignment="1">
      <alignment horizontal="centerContinuous" vertical="center"/>
    </xf>
    <xf numFmtId="0" fontId="33" fillId="0" borderId="0" xfId="0" applyFont="1" applyAlignment="1">
      <alignment horizontal="centerContinuous" vertical="center"/>
    </xf>
    <xf numFmtId="0" fontId="33" fillId="0" borderId="0" xfId="0" applyFont="1" applyBorder="1" applyAlignment="1">
      <alignment horizontal="centerContinuous" vertical="center"/>
    </xf>
    <xf numFmtId="0" fontId="34" fillId="0" borderId="0" xfId="0" applyFont="1" applyBorder="1" applyAlignment="1"/>
    <xf numFmtId="0" fontId="23" fillId="0" borderId="0" xfId="0" applyFont="1" applyAlignment="1">
      <alignment horizontal="left" vertical="center"/>
    </xf>
    <xf numFmtId="0" fontId="26" fillId="0" borderId="0" xfId="0" applyFont="1" applyBorder="1" applyAlignment="1">
      <alignment horizontal="right"/>
    </xf>
    <xf numFmtId="164" fontId="22" fillId="3" borderId="3" xfId="0" applyNumberFormat="1" applyFont="1" applyFill="1" applyBorder="1" applyAlignment="1">
      <alignment horizontal="center" vertical="center"/>
    </xf>
    <xf numFmtId="164" fontId="22" fillId="3" borderId="23" xfId="0" applyNumberFormat="1" applyFont="1" applyFill="1" applyBorder="1" applyAlignment="1">
      <alignment horizontal="left" vertical="center"/>
    </xf>
    <xf numFmtId="164" fontId="22" fillId="3" borderId="24" xfId="0" applyNumberFormat="1" applyFont="1" applyFill="1" applyBorder="1" applyAlignment="1">
      <alignment horizontal="center" vertical="center"/>
    </xf>
    <xf numFmtId="164" fontId="28" fillId="3" borderId="24" xfId="0" applyNumberFormat="1" applyFont="1" applyFill="1" applyBorder="1" applyAlignment="1">
      <alignment horizontal="center" vertical="center"/>
    </xf>
    <xf numFmtId="164" fontId="22" fillId="3" borderId="25" xfId="0" applyNumberFormat="1" applyFont="1" applyFill="1" applyBorder="1" applyAlignment="1">
      <alignment horizontal="right" vertical="center"/>
    </xf>
    <xf numFmtId="0" fontId="28" fillId="3" borderId="11" xfId="0" applyFont="1" applyFill="1" applyBorder="1"/>
    <xf numFmtId="1" fontId="28" fillId="3" borderId="5" xfId="0" applyNumberFormat="1" applyFont="1" applyFill="1" applyBorder="1" applyAlignment="1">
      <alignment horizontal="right" vertical="center"/>
    </xf>
    <xf numFmtId="0" fontId="22" fillId="3" borderId="6" xfId="0" applyFont="1" applyFill="1" applyBorder="1"/>
    <xf numFmtId="0" fontId="22" fillId="3" borderId="26" xfId="0" applyFont="1" applyFill="1" applyBorder="1"/>
    <xf numFmtId="0" fontId="22" fillId="3" borderId="13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22" fillId="3" borderId="12" xfId="0" applyFont="1" applyFill="1" applyBorder="1"/>
    <xf numFmtId="0" fontId="22" fillId="3" borderId="12" xfId="0" applyFont="1" applyFill="1" applyBorder="1" applyAlignment="1">
      <alignment horizontal="center"/>
    </xf>
    <xf numFmtId="0" fontId="22" fillId="3" borderId="16" xfId="0" applyFont="1" applyFill="1" applyBorder="1"/>
    <xf numFmtId="0" fontId="22" fillId="3" borderId="17" xfId="0" applyFont="1" applyFill="1" applyBorder="1"/>
    <xf numFmtId="0" fontId="22" fillId="3" borderId="27" xfId="0" applyFont="1" applyFill="1" applyBorder="1"/>
    <xf numFmtId="0" fontId="22" fillId="3" borderId="1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2" xfId="0" quotePrefix="1" applyFont="1" applyFill="1" applyBorder="1" applyAlignment="1">
      <alignment horizontal="right" vertical="center"/>
    </xf>
    <xf numFmtId="0" fontId="28" fillId="3" borderId="26" xfId="0" applyFont="1" applyFill="1" applyBorder="1"/>
    <xf numFmtId="0" fontId="22" fillId="3" borderId="26" xfId="0" quotePrefix="1" applyFont="1" applyFill="1" applyBorder="1" applyAlignment="1">
      <alignment horizontal="right" vertical="center"/>
    </xf>
    <xf numFmtId="0" fontId="22" fillId="3" borderId="26" xfId="0" applyFont="1" applyFill="1" applyBorder="1" applyAlignment="1">
      <alignment horizontal="center"/>
    </xf>
    <xf numFmtId="0" fontId="22" fillId="3" borderId="0" xfId="0" applyFont="1" applyFill="1" applyBorder="1"/>
    <xf numFmtId="0" fontId="22" fillId="3" borderId="6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12" xfId="0" quotePrefix="1" applyFont="1" applyFill="1" applyBorder="1" applyAlignment="1">
      <alignment horizontal="left" vertical="center"/>
    </xf>
    <xf numFmtId="0" fontId="28" fillId="3" borderId="28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164" fontId="28" fillId="5" borderId="6" xfId="0" applyNumberFormat="1" applyFont="1" applyFill="1" applyBorder="1" applyAlignment="1">
      <alignment horizontal="center" vertical="center"/>
    </xf>
    <xf numFmtId="164" fontId="28" fillId="5" borderId="0" xfId="0" applyNumberFormat="1" applyFont="1" applyFill="1" applyBorder="1" applyAlignment="1">
      <alignment horizontal="center" vertical="center"/>
    </xf>
    <xf numFmtId="164" fontId="22" fillId="5" borderId="0" xfId="0" applyNumberFormat="1" applyFont="1" applyFill="1" applyBorder="1" applyAlignment="1">
      <alignment horizontal="center" vertical="center"/>
    </xf>
    <xf numFmtId="164" fontId="22" fillId="5" borderId="20" xfId="0" applyNumberFormat="1" applyFont="1" applyFill="1" applyBorder="1" applyAlignment="1">
      <alignment horizontal="center" vertical="center"/>
    </xf>
    <xf numFmtId="164" fontId="28" fillId="4" borderId="6" xfId="0" applyNumberFormat="1" applyFont="1" applyFill="1" applyBorder="1" applyAlignment="1">
      <alignment horizontal="center" vertical="center"/>
    </xf>
    <xf numFmtId="164" fontId="28" fillId="4" borderId="0" xfId="0" applyNumberFormat="1" applyFont="1" applyFill="1" applyBorder="1" applyAlignment="1">
      <alignment horizontal="center" vertical="center"/>
    </xf>
    <xf numFmtId="164" fontId="22" fillId="4" borderId="0" xfId="0" applyNumberFormat="1" applyFont="1" applyFill="1" applyBorder="1" applyAlignment="1">
      <alignment horizontal="center" vertical="center"/>
    </xf>
    <xf numFmtId="164" fontId="22" fillId="4" borderId="0" xfId="0" applyNumberFormat="1" applyFont="1" applyFill="1" applyBorder="1" applyAlignment="1">
      <alignment horizontal="centerContinuous" vertical="center"/>
    </xf>
    <xf numFmtId="164" fontId="28" fillId="4" borderId="0" xfId="0" applyNumberFormat="1" applyFont="1" applyFill="1" applyBorder="1" applyAlignment="1">
      <alignment horizontal="centerContinuous" vertical="center"/>
    </xf>
    <xf numFmtId="164" fontId="22" fillId="4" borderId="20" xfId="0" applyNumberFormat="1" applyFont="1" applyFill="1" applyBorder="1" applyAlignment="1">
      <alignment horizontal="center" vertical="center"/>
    </xf>
    <xf numFmtId="164" fontId="28" fillId="5" borderId="0" xfId="0" applyNumberFormat="1" applyFont="1" applyFill="1" applyBorder="1" applyAlignment="1">
      <alignment horizontal="centerContinuous" vertical="center"/>
    </xf>
    <xf numFmtId="164" fontId="22" fillId="5" borderId="0" xfId="0" applyNumberFormat="1" applyFont="1" applyFill="1" applyBorder="1" applyAlignment="1">
      <alignment horizontal="centerContinuous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64" fontId="35" fillId="0" borderId="0" xfId="0" applyNumberFormat="1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164" fontId="25" fillId="0" borderId="0" xfId="0" applyNumberFormat="1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 readingOrder="2"/>
    </xf>
    <xf numFmtId="0" fontId="25" fillId="0" borderId="0" xfId="0" applyFont="1" applyAlignment="1">
      <alignment horizontal="left" vertical="center"/>
    </xf>
    <xf numFmtId="1" fontId="22" fillId="5" borderId="13" xfId="0" applyNumberFormat="1" applyFont="1" applyFill="1" applyBorder="1" applyAlignment="1">
      <alignment horizontal="center" vertical="center"/>
    </xf>
    <xf numFmtId="1" fontId="22" fillId="5" borderId="7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right" vertical="center" readingOrder="2"/>
    </xf>
    <xf numFmtId="0" fontId="25" fillId="0" borderId="0" xfId="0" applyFont="1" applyBorder="1" applyAlignment="1">
      <alignment horizontal="right" vertical="center"/>
    </xf>
    <xf numFmtId="1" fontId="22" fillId="4" borderId="13" xfId="0" applyNumberFormat="1" applyFont="1" applyFill="1" applyBorder="1" applyAlignment="1">
      <alignment horizontal="center" vertical="center"/>
    </xf>
    <xf numFmtId="1" fontId="22" fillId="4" borderId="7" xfId="0" applyNumberFormat="1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164" fontId="37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64" fontId="22" fillId="3" borderId="4" xfId="0" applyNumberFormat="1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/>
    </xf>
    <xf numFmtId="0" fontId="22" fillId="3" borderId="3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1" fontId="21" fillId="0" borderId="2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" fontId="21" fillId="4" borderId="0" xfId="0" applyNumberFormat="1" applyFont="1" applyFill="1" applyBorder="1" applyAlignment="1">
      <alignment horizontal="center" vertical="center"/>
    </xf>
    <xf numFmtId="1" fontId="21" fillId="4" borderId="7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1" fontId="21" fillId="0" borderId="13" xfId="0" applyNumberFormat="1" applyFont="1" applyBorder="1" applyAlignment="1">
      <alignment horizontal="center" vertical="center"/>
    </xf>
    <xf numFmtId="1" fontId="21" fillId="0" borderId="29" xfId="0" applyNumberFormat="1" applyFont="1" applyBorder="1" applyAlignment="1">
      <alignment horizontal="center" vertical="center"/>
    </xf>
    <xf numFmtId="164" fontId="28" fillId="4" borderId="8" xfId="0" applyNumberFormat="1" applyFont="1" applyFill="1" applyBorder="1" applyAlignment="1">
      <alignment horizontal="center" vertical="center"/>
    </xf>
    <xf numFmtId="164" fontId="28" fillId="4" borderId="2" xfId="0" applyNumberFormat="1" applyFont="1" applyFill="1" applyBorder="1" applyAlignment="1">
      <alignment horizontal="center" vertical="center"/>
    </xf>
    <xf numFmtId="164" fontId="22" fillId="4" borderId="2" xfId="0" applyNumberFormat="1" applyFont="1" applyFill="1" applyBorder="1" applyAlignment="1">
      <alignment horizontal="center" vertical="center"/>
    </xf>
    <xf numFmtId="164" fontId="22" fillId="4" borderId="2" xfId="0" applyNumberFormat="1" applyFont="1" applyFill="1" applyBorder="1" applyAlignment="1">
      <alignment horizontal="centerContinuous" vertical="center"/>
    </xf>
    <xf numFmtId="164" fontId="28" fillId="4" borderId="2" xfId="0" applyNumberFormat="1" applyFont="1" applyFill="1" applyBorder="1" applyAlignment="1">
      <alignment horizontal="centerContinuous" vertical="center"/>
    </xf>
    <xf numFmtId="164" fontId="22" fillId="4" borderId="22" xfId="0" applyNumberFormat="1" applyFont="1" applyFill="1" applyBorder="1" applyAlignment="1">
      <alignment horizontal="center" vertical="center"/>
    </xf>
    <xf numFmtId="1" fontId="22" fillId="4" borderId="32" xfId="0" applyNumberFormat="1" applyFont="1" applyFill="1" applyBorder="1" applyAlignment="1">
      <alignment horizontal="center" vertical="center"/>
    </xf>
    <xf numFmtId="1" fontId="22" fillId="4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21"/>
  <sheetViews>
    <sheetView tabSelected="1" topLeftCell="B50" zoomScale="80" zoomScaleNormal="80" workbookViewId="0">
      <selection activeCell="R52" sqref="R52"/>
    </sheetView>
  </sheetViews>
  <sheetFormatPr defaultColWidth="0" defaultRowHeight="20.25"/>
  <cols>
    <col min="1" max="1" width="9.140625" style="12" customWidth="1"/>
    <col min="2" max="2" width="10.7109375" style="12" customWidth="1"/>
    <col min="3" max="8" width="18" style="1" customWidth="1"/>
    <col min="9" max="9" width="18" style="2" customWidth="1"/>
    <col min="10" max="10" width="18" style="5" customWidth="1"/>
    <col min="11" max="11" width="22.85546875" style="1" customWidth="1"/>
    <col min="12" max="12" width="18" style="1" customWidth="1"/>
    <col min="13" max="13" width="12.7109375" style="1" customWidth="1"/>
    <col min="14" max="14" width="11.85546875" style="3" customWidth="1"/>
    <col min="15" max="15" width="10.28515625" style="4" customWidth="1"/>
    <col min="16" max="16" width="1.5703125" style="4" customWidth="1"/>
    <col min="17" max="17" width="10.7109375" style="12" customWidth="1"/>
    <col min="18" max="18" width="12.85546875" style="12" customWidth="1"/>
    <col min="19" max="19" width="18.42578125" style="12" customWidth="1"/>
    <col min="20" max="20" width="17.85546875" style="12" customWidth="1"/>
    <col min="21" max="21" width="11.28515625" style="12" customWidth="1"/>
    <col min="22" max="16384" width="0" style="12" hidden="1"/>
  </cols>
  <sheetData>
    <row r="1" spans="3:23" ht="17.25" customHeight="1"/>
    <row r="2" spans="3:23" ht="17.25" customHeight="1"/>
    <row r="3" spans="3:23" s="13" customFormat="1" ht="28.35" customHeight="1">
      <c r="C3" s="200" t="s">
        <v>58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R3" s="14"/>
      <c r="S3" s="14"/>
      <c r="T3" s="14"/>
      <c r="U3" s="14"/>
      <c r="V3" s="14"/>
      <c r="W3" s="14"/>
    </row>
    <row r="4" spans="3:23" s="15" customFormat="1" ht="28.35" customHeight="1">
      <c r="C4" s="201" t="s">
        <v>59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R4" s="16"/>
      <c r="S4" s="16"/>
      <c r="T4" s="16"/>
      <c r="U4" s="16"/>
      <c r="V4" s="16"/>
      <c r="W4" s="16"/>
    </row>
    <row r="5" spans="3:23" s="17" customFormat="1" ht="17.100000000000001" customHeight="1">
      <c r="C5" s="46" t="s">
        <v>49</v>
      </c>
      <c r="D5" s="47"/>
      <c r="E5" s="47"/>
      <c r="F5" s="48"/>
      <c r="G5" s="49"/>
      <c r="H5" s="50"/>
      <c r="I5" s="47"/>
      <c r="J5" s="51"/>
      <c r="K5" s="52"/>
      <c r="L5" s="53"/>
      <c r="M5" s="53"/>
      <c r="N5" s="54"/>
      <c r="O5" s="212" t="s">
        <v>46</v>
      </c>
      <c r="P5" s="212"/>
      <c r="R5" s="18"/>
      <c r="S5" s="18"/>
      <c r="T5" s="18"/>
      <c r="U5" s="18"/>
      <c r="V5" s="18"/>
      <c r="W5" s="18"/>
    </row>
    <row r="6" spans="3:23" ht="4.3499999999999996" customHeight="1">
      <c r="C6" s="55"/>
      <c r="D6" s="56"/>
      <c r="E6" s="56"/>
      <c r="F6" s="56"/>
      <c r="G6" s="56"/>
      <c r="H6" s="57"/>
      <c r="I6" s="56"/>
      <c r="J6" s="58"/>
      <c r="K6" s="56"/>
      <c r="L6" s="56"/>
      <c r="M6" s="56"/>
      <c r="N6" s="59"/>
      <c r="O6" s="59"/>
      <c r="P6" s="60"/>
      <c r="R6" s="10"/>
      <c r="S6" s="10"/>
      <c r="T6" s="10"/>
      <c r="U6" s="10"/>
      <c r="V6" s="10"/>
      <c r="W6" s="10"/>
    </row>
    <row r="7" spans="3:23" ht="28.35" customHeight="1">
      <c r="C7" s="61"/>
      <c r="D7" s="62"/>
      <c r="E7" s="62"/>
      <c r="F7" s="62"/>
      <c r="G7" s="62"/>
      <c r="H7" s="63"/>
      <c r="I7" s="62"/>
      <c r="J7" s="64"/>
      <c r="K7" s="65"/>
      <c r="L7" s="62"/>
      <c r="M7" s="62"/>
      <c r="N7" s="66"/>
      <c r="O7" s="66"/>
      <c r="P7" s="67"/>
      <c r="R7" s="10"/>
      <c r="S7" s="10"/>
      <c r="T7" s="10"/>
      <c r="U7" s="10"/>
      <c r="V7" s="10"/>
      <c r="W7" s="10"/>
    </row>
    <row r="8" spans="3:23" s="19" customFormat="1" ht="28.35" customHeight="1">
      <c r="C8" s="68" t="s">
        <v>0</v>
      </c>
      <c r="D8" s="69" t="s">
        <v>0</v>
      </c>
      <c r="E8" s="69"/>
      <c r="F8" s="69" t="s">
        <v>0</v>
      </c>
      <c r="G8" s="69" t="s">
        <v>0</v>
      </c>
      <c r="H8" s="69" t="s">
        <v>0</v>
      </c>
      <c r="I8" s="70" t="s">
        <v>0</v>
      </c>
      <c r="J8" s="71"/>
      <c r="K8" s="72" t="s">
        <v>47</v>
      </c>
      <c r="L8" s="69" t="s">
        <v>47</v>
      </c>
      <c r="M8" s="73"/>
      <c r="N8" s="74"/>
      <c r="O8" s="75"/>
      <c r="P8" s="76"/>
      <c r="R8" s="20"/>
      <c r="S8" s="20"/>
      <c r="T8" s="20"/>
      <c r="U8" s="20"/>
      <c r="V8" s="20"/>
      <c r="W8" s="20"/>
    </row>
    <row r="9" spans="3:23" s="19" customFormat="1" ht="28.35" customHeight="1">
      <c r="C9" s="68"/>
      <c r="D9" s="69" t="s">
        <v>43</v>
      </c>
      <c r="E9" s="69"/>
      <c r="F9" s="69"/>
      <c r="G9" s="69" t="s">
        <v>0</v>
      </c>
      <c r="H9" s="69" t="s">
        <v>1</v>
      </c>
      <c r="I9" s="70" t="s">
        <v>12</v>
      </c>
      <c r="J9" s="69"/>
      <c r="K9" s="72" t="s">
        <v>2</v>
      </c>
      <c r="L9" s="69" t="s">
        <v>3</v>
      </c>
      <c r="M9" s="77"/>
      <c r="N9" s="78"/>
      <c r="O9" s="78"/>
      <c r="P9" s="76"/>
      <c r="R9" s="20"/>
      <c r="S9" s="20"/>
      <c r="T9" s="20"/>
      <c r="U9" s="20"/>
      <c r="V9" s="20"/>
      <c r="W9" s="20"/>
    </row>
    <row r="10" spans="3:23" s="19" customFormat="1" ht="28.35" customHeight="1">
      <c r="C10" s="68" t="s">
        <v>4</v>
      </c>
      <c r="D10" s="69" t="s">
        <v>5</v>
      </c>
      <c r="E10" s="69" t="s">
        <v>6</v>
      </c>
      <c r="F10" s="69" t="s">
        <v>7</v>
      </c>
      <c r="G10" s="69" t="s">
        <v>8</v>
      </c>
      <c r="H10" s="69" t="s">
        <v>9</v>
      </c>
      <c r="I10" s="70" t="s">
        <v>50</v>
      </c>
      <c r="J10" s="69" t="s">
        <v>47</v>
      </c>
      <c r="K10" s="72" t="s">
        <v>10</v>
      </c>
      <c r="L10" s="69" t="s">
        <v>11</v>
      </c>
      <c r="M10" s="69" t="s">
        <v>12</v>
      </c>
      <c r="N10" s="79" t="s">
        <v>13</v>
      </c>
      <c r="O10" s="79"/>
      <c r="P10" s="76"/>
      <c r="R10" s="20"/>
      <c r="S10" s="20"/>
      <c r="T10" s="20"/>
      <c r="U10" s="20"/>
      <c r="V10" s="20"/>
      <c r="W10" s="20"/>
    </row>
    <row r="11" spans="3:23" s="19" customFormat="1" ht="28.35" customHeight="1">
      <c r="C11" s="80" t="s">
        <v>48</v>
      </c>
      <c r="D11" s="81" t="s">
        <v>14</v>
      </c>
      <c r="E11" s="81" t="s">
        <v>56</v>
      </c>
      <c r="F11" s="81" t="s">
        <v>15</v>
      </c>
      <c r="G11" s="81" t="s">
        <v>9</v>
      </c>
      <c r="H11" s="81" t="s">
        <v>44</v>
      </c>
      <c r="I11" s="82" t="s">
        <v>6</v>
      </c>
      <c r="J11" s="83" t="s">
        <v>16</v>
      </c>
      <c r="K11" s="84" t="s">
        <v>60</v>
      </c>
      <c r="L11" s="85" t="s">
        <v>61</v>
      </c>
      <c r="M11" s="81" t="s">
        <v>56</v>
      </c>
      <c r="N11" s="79" t="s">
        <v>17</v>
      </c>
      <c r="O11" s="79"/>
      <c r="P11" s="76"/>
      <c r="R11" s="20"/>
      <c r="S11" s="20"/>
      <c r="T11" s="20"/>
      <c r="U11" s="20"/>
      <c r="V11" s="20"/>
      <c r="W11" s="20"/>
    </row>
    <row r="12" spans="3:23" s="21" customFormat="1" ht="28.35" customHeight="1">
      <c r="C12" s="80"/>
      <c r="D12" s="81" t="s">
        <v>18</v>
      </c>
      <c r="E12" s="81"/>
      <c r="F12" s="81"/>
      <c r="G12" s="81"/>
      <c r="H12" s="81"/>
      <c r="I12" s="82"/>
      <c r="J12" s="83"/>
      <c r="K12" s="84" t="s">
        <v>19</v>
      </c>
      <c r="L12" s="81" t="s">
        <v>19</v>
      </c>
      <c r="M12" s="86"/>
      <c r="N12" s="87"/>
      <c r="O12" s="79"/>
      <c r="P12" s="88"/>
      <c r="R12" s="22"/>
      <c r="S12" s="22"/>
      <c r="T12" s="22"/>
      <c r="U12" s="22"/>
      <c r="V12" s="22"/>
      <c r="W12" s="22"/>
    </row>
    <row r="13" spans="3:23" s="21" customFormat="1" ht="28.35" customHeight="1">
      <c r="C13" s="80" t="s">
        <v>20</v>
      </c>
      <c r="D13" s="81" t="s">
        <v>21</v>
      </c>
      <c r="E13" s="81"/>
      <c r="F13" s="81" t="s">
        <v>22</v>
      </c>
      <c r="G13" s="81"/>
      <c r="H13" s="81" t="s">
        <v>23</v>
      </c>
      <c r="I13" s="82" t="s">
        <v>24</v>
      </c>
      <c r="J13" s="81" t="s">
        <v>19</v>
      </c>
      <c r="K13" s="84" t="s">
        <v>25</v>
      </c>
      <c r="L13" s="81" t="s">
        <v>26</v>
      </c>
      <c r="M13" s="86"/>
      <c r="N13" s="87"/>
      <c r="O13" s="79"/>
      <c r="P13" s="76"/>
      <c r="R13" s="22"/>
      <c r="S13" s="22"/>
      <c r="T13" s="22"/>
      <c r="U13" s="22"/>
      <c r="V13" s="22"/>
      <c r="W13" s="22"/>
    </row>
    <row r="14" spans="3:23" s="21" customFormat="1" ht="28.35" customHeight="1">
      <c r="C14" s="80" t="s">
        <v>28</v>
      </c>
      <c r="D14" s="81" t="s">
        <v>29</v>
      </c>
      <c r="E14" s="81" t="s">
        <v>30</v>
      </c>
      <c r="F14" s="81" t="s">
        <v>31</v>
      </c>
      <c r="G14" s="81" t="s">
        <v>32</v>
      </c>
      <c r="H14" s="81" t="s">
        <v>33</v>
      </c>
      <c r="I14" s="70" t="s">
        <v>45</v>
      </c>
      <c r="J14" s="83" t="s">
        <v>22</v>
      </c>
      <c r="K14" s="84" t="s">
        <v>34</v>
      </c>
      <c r="L14" s="81" t="s">
        <v>35</v>
      </c>
      <c r="M14" s="81" t="s">
        <v>36</v>
      </c>
      <c r="N14" s="87" t="s">
        <v>27</v>
      </c>
      <c r="O14" s="79"/>
      <c r="P14" s="76"/>
      <c r="R14" s="22"/>
      <c r="S14" s="22"/>
      <c r="T14" s="22"/>
      <c r="U14" s="22"/>
      <c r="V14" s="22"/>
      <c r="W14" s="22"/>
    </row>
    <row r="15" spans="3:23" s="21" customFormat="1" ht="28.35" customHeight="1">
      <c r="C15" s="89" t="s">
        <v>38</v>
      </c>
      <c r="D15" s="90" t="s">
        <v>39</v>
      </c>
      <c r="E15" s="90" t="s">
        <v>40</v>
      </c>
      <c r="F15" s="90" t="s">
        <v>41</v>
      </c>
      <c r="G15" s="90" t="s">
        <v>23</v>
      </c>
      <c r="H15" s="90" t="s">
        <v>42</v>
      </c>
      <c r="I15" s="91" t="s">
        <v>40</v>
      </c>
      <c r="J15" s="92" t="s">
        <v>31</v>
      </c>
      <c r="K15" s="93" t="s">
        <v>62</v>
      </c>
      <c r="L15" s="90" t="s">
        <v>63</v>
      </c>
      <c r="M15" s="90" t="s">
        <v>24</v>
      </c>
      <c r="N15" s="93" t="s">
        <v>37</v>
      </c>
      <c r="O15" s="94"/>
      <c r="P15" s="95"/>
      <c r="R15" s="22"/>
      <c r="S15" s="22"/>
      <c r="T15" s="22"/>
      <c r="U15" s="22"/>
      <c r="V15" s="22"/>
      <c r="W15" s="22"/>
    </row>
    <row r="16" spans="3:23" ht="48.75" customHeight="1">
      <c r="C16" s="96">
        <f t="shared" ref="C16:C44" si="0">SUM(I16-D16-E16-F16-G16-H16)</f>
        <v>1.4000000000000057</v>
      </c>
      <c r="D16" s="97">
        <f>(3.7+1.1+1)</f>
        <v>5.8000000000000007</v>
      </c>
      <c r="E16" s="97">
        <v>2.7</v>
      </c>
      <c r="F16" s="97">
        <v>16.5</v>
      </c>
      <c r="G16" s="97">
        <v>13.8</v>
      </c>
      <c r="H16" s="45">
        <v>39.799999999999997</v>
      </c>
      <c r="I16" s="98">
        <f t="shared" ref="I16:I44" si="1">SUM(J16+K16+L16+M16)</f>
        <v>80</v>
      </c>
      <c r="J16" s="45">
        <v>0</v>
      </c>
      <c r="K16" s="99">
        <v>1.6</v>
      </c>
      <c r="L16" s="45">
        <v>27.9</v>
      </c>
      <c r="M16" s="100">
        <v>50.5</v>
      </c>
      <c r="N16" s="213">
        <v>1964</v>
      </c>
      <c r="O16" s="208"/>
      <c r="P16" s="214"/>
    </row>
    <row r="17" spans="3:16" ht="48.75" customHeight="1">
      <c r="C17" s="101">
        <f t="shared" si="0"/>
        <v>3.7000000000000028</v>
      </c>
      <c r="D17" s="102">
        <f>(3.7+1.4+1+0.8)</f>
        <v>6.8999999999999995</v>
      </c>
      <c r="E17" s="102">
        <v>3.3</v>
      </c>
      <c r="F17" s="102">
        <v>14.7</v>
      </c>
      <c r="G17" s="102">
        <v>17</v>
      </c>
      <c r="H17" s="103">
        <v>47.2</v>
      </c>
      <c r="I17" s="104">
        <f t="shared" si="1"/>
        <v>92.800000000000011</v>
      </c>
      <c r="J17" s="103">
        <v>0</v>
      </c>
      <c r="K17" s="105">
        <v>2.1</v>
      </c>
      <c r="L17" s="103">
        <v>31.6</v>
      </c>
      <c r="M17" s="106">
        <v>59.1</v>
      </c>
      <c r="N17" s="210">
        <f>N16+1</f>
        <v>1965</v>
      </c>
      <c r="O17" s="210"/>
      <c r="P17" s="211"/>
    </row>
    <row r="18" spans="3:16" ht="48.75" customHeight="1">
      <c r="C18" s="107">
        <f t="shared" si="0"/>
        <v>3.4000000000000057</v>
      </c>
      <c r="D18" s="97">
        <v>8.8000000000000007</v>
      </c>
      <c r="E18" s="97">
        <v>2.9</v>
      </c>
      <c r="F18" s="97">
        <v>15</v>
      </c>
      <c r="G18" s="97">
        <v>19.8</v>
      </c>
      <c r="H18" s="45">
        <v>56</v>
      </c>
      <c r="I18" s="98">
        <f t="shared" si="1"/>
        <v>105.9</v>
      </c>
      <c r="J18" s="45">
        <v>0</v>
      </c>
      <c r="K18" s="99">
        <v>2.6</v>
      </c>
      <c r="L18" s="45">
        <v>37.200000000000003</v>
      </c>
      <c r="M18" s="100">
        <v>66.099999999999994</v>
      </c>
      <c r="N18" s="208">
        <v>1966</v>
      </c>
      <c r="O18" s="208">
        <f>N17+1</f>
        <v>1966</v>
      </c>
      <c r="P18" s="209"/>
    </row>
    <row r="19" spans="3:16" ht="48.75" customHeight="1">
      <c r="C19" s="101">
        <f t="shared" si="0"/>
        <v>-1.3999999999999773</v>
      </c>
      <c r="D19" s="102">
        <f>(4.3+2.1+2+1.1)</f>
        <v>9.5</v>
      </c>
      <c r="E19" s="102">
        <v>2.6</v>
      </c>
      <c r="F19" s="102">
        <v>27.6</v>
      </c>
      <c r="G19" s="102">
        <v>18.8</v>
      </c>
      <c r="H19" s="103">
        <v>75.2</v>
      </c>
      <c r="I19" s="104">
        <f t="shared" si="1"/>
        <v>132.30000000000001</v>
      </c>
      <c r="J19" s="103">
        <v>0</v>
      </c>
      <c r="K19" s="105">
        <v>2.9</v>
      </c>
      <c r="L19" s="103">
        <v>36.9</v>
      </c>
      <c r="M19" s="106">
        <v>92.5</v>
      </c>
      <c r="N19" s="210">
        <v>1967</v>
      </c>
      <c r="O19" s="210">
        <f t="shared" ref="O19:O44" si="2">O18+1</f>
        <v>1967</v>
      </c>
      <c r="P19" s="211"/>
    </row>
    <row r="20" spans="3:16" ht="48.75" customHeight="1">
      <c r="C20" s="107">
        <f t="shared" si="0"/>
        <v>-1.2000000000000171</v>
      </c>
      <c r="D20" s="97">
        <f>(4.4+2.7+2+1.7)</f>
        <v>10.8</v>
      </c>
      <c r="E20" s="97">
        <v>2.9</v>
      </c>
      <c r="F20" s="97">
        <v>28.6</v>
      </c>
      <c r="G20" s="97">
        <v>20.9</v>
      </c>
      <c r="H20" s="45">
        <v>88</v>
      </c>
      <c r="I20" s="98">
        <f t="shared" si="1"/>
        <v>150</v>
      </c>
      <c r="J20" s="45">
        <v>0</v>
      </c>
      <c r="K20" s="99">
        <v>3.7</v>
      </c>
      <c r="L20" s="45">
        <v>38.4</v>
      </c>
      <c r="M20" s="100">
        <v>107.9</v>
      </c>
      <c r="N20" s="208">
        <v>1968</v>
      </c>
      <c r="O20" s="208">
        <f t="shared" si="2"/>
        <v>1968</v>
      </c>
      <c r="P20" s="209"/>
    </row>
    <row r="21" spans="3:16" ht="48.75" customHeight="1">
      <c r="C21" s="101">
        <f t="shared" si="0"/>
        <v>-0.20000000000001705</v>
      </c>
      <c r="D21" s="102">
        <f>(4.7+3.2+2+2.6)</f>
        <v>12.5</v>
      </c>
      <c r="E21" s="102">
        <v>3.4</v>
      </c>
      <c r="F21" s="102">
        <v>18</v>
      </c>
      <c r="G21" s="102">
        <v>22.7</v>
      </c>
      <c r="H21" s="103">
        <v>96.3</v>
      </c>
      <c r="I21" s="104">
        <f t="shared" si="1"/>
        <v>152.69999999999999</v>
      </c>
      <c r="J21" s="103">
        <v>7.7</v>
      </c>
      <c r="K21" s="105">
        <v>2.9</v>
      </c>
      <c r="L21" s="103">
        <v>43.6</v>
      </c>
      <c r="M21" s="106">
        <v>98.5</v>
      </c>
      <c r="N21" s="210">
        <v>1969</v>
      </c>
      <c r="O21" s="210">
        <f t="shared" si="2"/>
        <v>1969</v>
      </c>
      <c r="P21" s="211"/>
    </row>
    <row r="22" spans="3:16" ht="48.75" customHeight="1">
      <c r="C22" s="107">
        <f t="shared" si="0"/>
        <v>-1.3999999999999631</v>
      </c>
      <c r="D22" s="97">
        <f>(4.7+3.3+2+3.7+1)</f>
        <v>14.7</v>
      </c>
      <c r="E22" s="97">
        <v>3.7</v>
      </c>
      <c r="F22" s="97">
        <v>11</v>
      </c>
      <c r="G22" s="97">
        <v>23.7</v>
      </c>
      <c r="H22" s="45">
        <v>105.4</v>
      </c>
      <c r="I22" s="98">
        <f t="shared" si="1"/>
        <v>157.10000000000002</v>
      </c>
      <c r="J22" s="45">
        <v>13.2</v>
      </c>
      <c r="K22" s="99">
        <v>2.8</v>
      </c>
      <c r="L22" s="45">
        <v>43.7</v>
      </c>
      <c r="M22" s="100">
        <v>97.4</v>
      </c>
      <c r="N22" s="208">
        <v>1970</v>
      </c>
      <c r="O22" s="208">
        <f t="shared" si="2"/>
        <v>1970</v>
      </c>
      <c r="P22" s="209"/>
    </row>
    <row r="23" spans="3:16" ht="48.75" customHeight="1">
      <c r="C23" s="101">
        <f t="shared" si="0"/>
        <v>0.90000000000000568</v>
      </c>
      <c r="D23" s="102">
        <f>(4.7+3.3+2+3.1+5.4)</f>
        <v>18.5</v>
      </c>
      <c r="E23" s="102">
        <v>2.7</v>
      </c>
      <c r="F23" s="102">
        <v>7.8</v>
      </c>
      <c r="G23" s="102">
        <v>27.1</v>
      </c>
      <c r="H23" s="103">
        <v>108</v>
      </c>
      <c r="I23" s="104">
        <f t="shared" si="1"/>
        <v>165</v>
      </c>
      <c r="J23" s="103">
        <f>24.3+0.4</f>
        <v>24.7</v>
      </c>
      <c r="K23" s="105">
        <v>3.3</v>
      </c>
      <c r="L23" s="103">
        <v>45.1</v>
      </c>
      <c r="M23" s="106">
        <f>91.9</f>
        <v>91.9</v>
      </c>
      <c r="N23" s="210">
        <v>1971</v>
      </c>
      <c r="O23" s="210">
        <f t="shared" si="2"/>
        <v>1971</v>
      </c>
      <c r="P23" s="211"/>
    </row>
    <row r="24" spans="3:16" ht="48.75" customHeight="1">
      <c r="C24" s="107">
        <f t="shared" si="0"/>
        <v>3.9000000000000341</v>
      </c>
      <c r="D24" s="97">
        <v>14</v>
      </c>
      <c r="E24" s="97">
        <v>2.7</v>
      </c>
      <c r="F24" s="97">
        <v>8.6</v>
      </c>
      <c r="G24" s="97">
        <v>31.5</v>
      </c>
      <c r="H24" s="45">
        <v>115.1</v>
      </c>
      <c r="I24" s="98">
        <f t="shared" si="1"/>
        <v>175.8</v>
      </c>
      <c r="J24" s="45">
        <f>23+0.5</f>
        <v>23.5</v>
      </c>
      <c r="K24" s="99">
        <v>4.4000000000000004</v>
      </c>
      <c r="L24" s="45">
        <v>48.1</v>
      </c>
      <c r="M24" s="100">
        <v>99.8</v>
      </c>
      <c r="N24" s="208">
        <v>1972</v>
      </c>
      <c r="O24" s="208">
        <f t="shared" si="2"/>
        <v>1972</v>
      </c>
      <c r="P24" s="209"/>
    </row>
    <row r="25" spans="3:16" ht="48.75" customHeight="1">
      <c r="C25" s="101">
        <f t="shared" si="0"/>
        <v>8.3000000000000114</v>
      </c>
      <c r="D25" s="102">
        <f>(4.7+3.3+2+4+0.1)</f>
        <v>14.1</v>
      </c>
      <c r="E25" s="102">
        <v>3</v>
      </c>
      <c r="F25" s="102">
        <v>12.8</v>
      </c>
      <c r="G25" s="102">
        <v>36.799999999999997</v>
      </c>
      <c r="H25" s="103">
        <v>139.30000000000001</v>
      </c>
      <c r="I25" s="104">
        <f t="shared" si="1"/>
        <v>214.3</v>
      </c>
      <c r="J25" s="103">
        <f>42.1+0.7</f>
        <v>42.800000000000004</v>
      </c>
      <c r="K25" s="105">
        <v>5.8</v>
      </c>
      <c r="L25" s="103">
        <v>59.5</v>
      </c>
      <c r="M25" s="106">
        <v>106.2</v>
      </c>
      <c r="N25" s="210">
        <v>1973</v>
      </c>
      <c r="O25" s="210">
        <f t="shared" si="2"/>
        <v>1973</v>
      </c>
      <c r="P25" s="211"/>
    </row>
    <row r="26" spans="3:16" ht="48.75" customHeight="1">
      <c r="C26" s="107">
        <f t="shared" si="0"/>
        <v>-4.9999999999999716</v>
      </c>
      <c r="D26" s="97">
        <f>(7.6+4+2+4+1.2)</f>
        <v>18.8</v>
      </c>
      <c r="E26" s="97">
        <v>4.9000000000000004</v>
      </c>
      <c r="F26" s="97">
        <v>12.6</v>
      </c>
      <c r="G26" s="97">
        <v>47.8</v>
      </c>
      <c r="H26" s="45">
        <v>172.1</v>
      </c>
      <c r="I26" s="98">
        <f t="shared" si="1"/>
        <v>251.20000000000002</v>
      </c>
      <c r="J26" s="45">
        <f>42.4+0.9</f>
        <v>43.3</v>
      </c>
      <c r="K26" s="99">
        <v>9</v>
      </c>
      <c r="L26" s="45">
        <v>81.5</v>
      </c>
      <c r="M26" s="100">
        <v>117.4</v>
      </c>
      <c r="N26" s="208">
        <v>1974</v>
      </c>
      <c r="O26" s="208">
        <f t="shared" si="2"/>
        <v>1974</v>
      </c>
      <c r="P26" s="209"/>
    </row>
    <row r="27" spans="3:16" ht="48.75" customHeight="1">
      <c r="C27" s="101">
        <f t="shared" si="0"/>
        <v>6.0000000000000284</v>
      </c>
      <c r="D27" s="102">
        <f>(11+5.9+2+4+1.3)</f>
        <v>24.2</v>
      </c>
      <c r="E27" s="102">
        <v>10.9</v>
      </c>
      <c r="F27" s="102">
        <v>26.1</v>
      </c>
      <c r="G27" s="102">
        <v>63.8</v>
      </c>
      <c r="H27" s="103">
        <v>224.6</v>
      </c>
      <c r="I27" s="104">
        <f t="shared" si="1"/>
        <v>355.6</v>
      </c>
      <c r="J27" s="103">
        <f>48.7+1.8</f>
        <v>50.5</v>
      </c>
      <c r="K27" s="105">
        <v>11.6</v>
      </c>
      <c r="L27" s="103">
        <f>121.1-0.6</f>
        <v>120.5</v>
      </c>
      <c r="M27" s="106">
        <v>173</v>
      </c>
      <c r="N27" s="210">
        <v>1975</v>
      </c>
      <c r="O27" s="210">
        <f t="shared" si="2"/>
        <v>1975</v>
      </c>
      <c r="P27" s="211"/>
    </row>
    <row r="28" spans="3:16" ht="48.75" customHeight="1">
      <c r="C28" s="107">
        <f t="shared" si="0"/>
        <v>18.099999999999966</v>
      </c>
      <c r="D28" s="97">
        <f>(16.2+8.2+2+4+5.2)</f>
        <v>35.6</v>
      </c>
      <c r="E28" s="97">
        <v>23.3</v>
      </c>
      <c r="F28" s="97">
        <v>26.6</v>
      </c>
      <c r="G28" s="97">
        <v>101.5</v>
      </c>
      <c r="H28" s="45">
        <v>276.89999999999998</v>
      </c>
      <c r="I28" s="98">
        <f t="shared" si="1"/>
        <v>482</v>
      </c>
      <c r="J28" s="45">
        <f>61.6+3.4</f>
        <v>65</v>
      </c>
      <c r="K28" s="99">
        <f>19.1</f>
        <v>19.100000000000001</v>
      </c>
      <c r="L28" s="45">
        <f>196.9-0.5</f>
        <v>196.4</v>
      </c>
      <c r="M28" s="100">
        <v>201.5</v>
      </c>
      <c r="N28" s="208">
        <v>1976</v>
      </c>
      <c r="O28" s="208">
        <f t="shared" si="2"/>
        <v>1976</v>
      </c>
      <c r="P28" s="209"/>
    </row>
    <row r="29" spans="3:16" ht="48.75" customHeight="1">
      <c r="C29" s="101">
        <f t="shared" si="0"/>
        <v>23.799999999999955</v>
      </c>
      <c r="D29" s="102">
        <f>(25.5+12.9+2+4+9.6)</f>
        <v>54</v>
      </c>
      <c r="E29" s="102">
        <v>21.6</v>
      </c>
      <c r="F29" s="102">
        <v>44.9</v>
      </c>
      <c r="G29" s="102">
        <v>136.6</v>
      </c>
      <c r="H29" s="103">
        <v>331</v>
      </c>
      <c r="I29" s="104">
        <f t="shared" si="1"/>
        <v>611.9</v>
      </c>
      <c r="J29" s="103">
        <f>82.9+6-1.4</f>
        <v>87.5</v>
      </c>
      <c r="K29" s="105">
        <f>26.1+1.4</f>
        <v>27.5</v>
      </c>
      <c r="L29" s="103">
        <f>231-0.5</f>
        <v>230.5</v>
      </c>
      <c r="M29" s="106">
        <v>266.39999999999998</v>
      </c>
      <c r="N29" s="210">
        <v>1977</v>
      </c>
      <c r="O29" s="210">
        <f t="shared" si="2"/>
        <v>1977</v>
      </c>
      <c r="P29" s="211"/>
    </row>
    <row r="30" spans="3:16" ht="48.75" customHeight="1">
      <c r="C30" s="107">
        <f t="shared" si="0"/>
        <v>20.999999999999943</v>
      </c>
      <c r="D30" s="97">
        <f>(43.1+20.3+2+4+18.3)</f>
        <v>87.7</v>
      </c>
      <c r="E30" s="97">
        <v>60.3</v>
      </c>
      <c r="F30" s="97">
        <v>55.7</v>
      </c>
      <c r="G30" s="97">
        <v>231.3</v>
      </c>
      <c r="H30" s="45">
        <v>375.4</v>
      </c>
      <c r="I30" s="98">
        <f t="shared" si="1"/>
        <v>831.4</v>
      </c>
      <c r="J30" s="45">
        <v>112.7</v>
      </c>
      <c r="K30" s="99">
        <v>43.1</v>
      </c>
      <c r="L30" s="45">
        <f>314.7-1.5</f>
        <v>313.2</v>
      </c>
      <c r="M30" s="100">
        <f>286.3+76.1</f>
        <v>362.4</v>
      </c>
      <c r="N30" s="208">
        <v>1978</v>
      </c>
      <c r="O30" s="208">
        <f t="shared" si="2"/>
        <v>1978</v>
      </c>
      <c r="P30" s="209"/>
    </row>
    <row r="31" spans="3:16" ht="48.75" customHeight="1">
      <c r="C31" s="101">
        <f t="shared" si="0"/>
        <v>16.400000000000148</v>
      </c>
      <c r="D31" s="102">
        <f>(51.5+29+2+4+24)</f>
        <v>110.5</v>
      </c>
      <c r="E31" s="102">
        <v>87.1</v>
      </c>
      <c r="F31" s="102">
        <v>77.3</v>
      </c>
      <c r="G31" s="102">
        <v>300.39999999999998</v>
      </c>
      <c r="H31" s="103">
        <v>472.7</v>
      </c>
      <c r="I31" s="104">
        <f t="shared" si="1"/>
        <v>1064.4000000000001</v>
      </c>
      <c r="J31" s="103">
        <v>118.4</v>
      </c>
      <c r="K31" s="105">
        <v>46.6</v>
      </c>
      <c r="L31" s="103">
        <f>448.5-2.7</f>
        <v>445.8</v>
      </c>
      <c r="M31" s="106">
        <f>370.8+82.8</f>
        <v>453.6</v>
      </c>
      <c r="N31" s="210">
        <v>1979</v>
      </c>
      <c r="O31" s="210">
        <f t="shared" si="2"/>
        <v>1979</v>
      </c>
      <c r="P31" s="211"/>
    </row>
    <row r="32" spans="3:16" ht="48.75" customHeight="1">
      <c r="C32" s="107">
        <f t="shared" si="0"/>
        <v>24.999999999999886</v>
      </c>
      <c r="D32" s="97">
        <f>(55.3+37.7+2+4+35.4)</f>
        <v>134.4</v>
      </c>
      <c r="E32" s="97">
        <v>148.69999999999999</v>
      </c>
      <c r="F32" s="97">
        <v>98.6</v>
      </c>
      <c r="G32" s="97">
        <v>390</v>
      </c>
      <c r="H32" s="45">
        <v>594.79999999999995</v>
      </c>
      <c r="I32" s="98">
        <f t="shared" si="1"/>
        <v>1391.5</v>
      </c>
      <c r="J32" s="45">
        <f>165+11.4-9.2-10.8</f>
        <v>156.4</v>
      </c>
      <c r="K32" s="99">
        <f>43.3+9.2+10.8</f>
        <v>63.3</v>
      </c>
      <c r="L32" s="45">
        <v>548.5</v>
      </c>
      <c r="M32" s="100">
        <f>418.1+205.2</f>
        <v>623.29999999999995</v>
      </c>
      <c r="N32" s="208">
        <v>1980</v>
      </c>
      <c r="O32" s="208">
        <f t="shared" si="2"/>
        <v>1980</v>
      </c>
      <c r="P32" s="209"/>
    </row>
    <row r="33" spans="2:29" ht="48.75" customHeight="1">
      <c r="C33" s="101">
        <f t="shared" si="0"/>
        <v>20.800000000000182</v>
      </c>
      <c r="D33" s="102">
        <f>(62.8+49.8+2+4+35)</f>
        <v>153.6</v>
      </c>
      <c r="E33" s="102">
        <v>178.6</v>
      </c>
      <c r="F33" s="102">
        <v>116.5</v>
      </c>
      <c r="G33" s="102">
        <v>478.2</v>
      </c>
      <c r="H33" s="103">
        <v>701.7</v>
      </c>
      <c r="I33" s="104">
        <f t="shared" si="1"/>
        <v>1649.4</v>
      </c>
      <c r="J33" s="103">
        <f>200.8+15.4-21.4</f>
        <v>194.8</v>
      </c>
      <c r="K33" s="105">
        <f>64+21.4</f>
        <v>85.4</v>
      </c>
      <c r="L33" s="103">
        <f>702.3-11.1</f>
        <v>691.19999999999993</v>
      </c>
      <c r="M33" s="106">
        <f>433.6+244.4</f>
        <v>678</v>
      </c>
      <c r="N33" s="210">
        <v>1981</v>
      </c>
      <c r="O33" s="210">
        <f t="shared" si="2"/>
        <v>1981</v>
      </c>
      <c r="P33" s="211"/>
    </row>
    <row r="34" spans="2:29" ht="48.75" customHeight="1">
      <c r="C34" s="107">
        <f t="shared" si="0"/>
        <v>-46.300000000000182</v>
      </c>
      <c r="D34" s="97">
        <v>198.3</v>
      </c>
      <c r="E34" s="97">
        <v>202</v>
      </c>
      <c r="F34" s="97">
        <v>101.9</v>
      </c>
      <c r="G34" s="97">
        <v>615.79999999999995</v>
      </c>
      <c r="H34" s="45">
        <v>787.5</v>
      </c>
      <c r="I34" s="98">
        <f t="shared" si="1"/>
        <v>1859.1999999999998</v>
      </c>
      <c r="J34" s="45">
        <f>245.5+17.3-19.9-4.6</f>
        <v>238.3</v>
      </c>
      <c r="K34" s="99">
        <f>93.1+19.9+4.6</f>
        <v>117.6</v>
      </c>
      <c r="L34" s="45">
        <f>875-22.1</f>
        <v>852.9</v>
      </c>
      <c r="M34" s="100">
        <f>372.9+277.5</f>
        <v>650.4</v>
      </c>
      <c r="N34" s="208">
        <v>1982</v>
      </c>
      <c r="O34" s="208">
        <f t="shared" si="2"/>
        <v>1982</v>
      </c>
      <c r="P34" s="209"/>
    </row>
    <row r="35" spans="2:29" ht="48.75" customHeight="1">
      <c r="C35" s="101">
        <f t="shared" si="0"/>
        <v>-42.999999999999886</v>
      </c>
      <c r="D35" s="102">
        <f>(82+90.6+6+6+23.5)</f>
        <v>208.1</v>
      </c>
      <c r="E35" s="102">
        <v>248.2</v>
      </c>
      <c r="F35" s="102">
        <v>137.6</v>
      </c>
      <c r="G35" s="102">
        <v>745.8</v>
      </c>
      <c r="H35" s="103">
        <v>869.4</v>
      </c>
      <c r="I35" s="104">
        <f t="shared" si="1"/>
        <v>2166.1</v>
      </c>
      <c r="J35" s="103">
        <f>280.4+21.6-18.3-5.9</f>
        <v>277.8</v>
      </c>
      <c r="K35" s="105">
        <f>108.9+18.3+5.9</f>
        <v>133.1</v>
      </c>
      <c r="L35" s="103">
        <f>1042.3-27.5</f>
        <v>1014.8</v>
      </c>
      <c r="M35" s="106">
        <f>408.5+331.9</f>
        <v>740.4</v>
      </c>
      <c r="N35" s="210">
        <v>1983</v>
      </c>
      <c r="O35" s="210">
        <f t="shared" si="2"/>
        <v>1983</v>
      </c>
      <c r="P35" s="211"/>
    </row>
    <row r="36" spans="2:29" ht="48.75" customHeight="1">
      <c r="C36" s="107">
        <f t="shared" si="0"/>
        <v>-60.500000000000341</v>
      </c>
      <c r="D36" s="97">
        <f>(83.2+104.6+12+6+23)</f>
        <v>228.8</v>
      </c>
      <c r="E36" s="97">
        <v>316.7</v>
      </c>
      <c r="F36" s="97">
        <v>129.4</v>
      </c>
      <c r="G36" s="97">
        <v>879.3</v>
      </c>
      <c r="H36" s="45">
        <v>878.4</v>
      </c>
      <c r="I36" s="98">
        <f t="shared" si="1"/>
        <v>2372.1</v>
      </c>
      <c r="J36" s="45">
        <f>311.4+24.6-28.5-8</f>
        <v>299.5</v>
      </c>
      <c r="K36" s="99">
        <f>113.4+28.5+8</f>
        <v>149.9</v>
      </c>
      <c r="L36" s="45">
        <f>1204.7-28.6</f>
        <v>1176.1000000000001</v>
      </c>
      <c r="M36" s="100">
        <f>387.5+359.1</f>
        <v>746.6</v>
      </c>
      <c r="N36" s="208">
        <v>1984</v>
      </c>
      <c r="O36" s="208">
        <f t="shared" si="2"/>
        <v>1984</v>
      </c>
      <c r="P36" s="209"/>
    </row>
    <row r="37" spans="2:29" ht="48.75" customHeight="1">
      <c r="C37" s="101">
        <f t="shared" si="0"/>
        <v>-46.300000000000182</v>
      </c>
      <c r="D37" s="102">
        <f>(100.7+100.5+6+12+20.6)</f>
        <v>239.79999999999998</v>
      </c>
      <c r="E37" s="102">
        <v>338.3</v>
      </c>
      <c r="F37" s="102">
        <v>128</v>
      </c>
      <c r="G37" s="102">
        <v>1026.5999999999999</v>
      </c>
      <c r="H37" s="103">
        <v>848.2</v>
      </c>
      <c r="I37" s="104">
        <f t="shared" si="1"/>
        <v>2534.6</v>
      </c>
      <c r="J37" s="103">
        <f>324.6+29.1-26.8-6.1</f>
        <v>320.8</v>
      </c>
      <c r="K37" s="105">
        <f>147.9+26.8+6.1</f>
        <v>180.8</v>
      </c>
      <c r="L37" s="103">
        <f>1269.1-27.5</f>
        <v>1241.5999999999999</v>
      </c>
      <c r="M37" s="106">
        <f>379+412.4</f>
        <v>791.4</v>
      </c>
      <c r="N37" s="210">
        <v>1985</v>
      </c>
      <c r="O37" s="210">
        <f t="shared" si="2"/>
        <v>1985</v>
      </c>
      <c r="P37" s="211"/>
    </row>
    <row r="38" spans="2:29" ht="48.75" customHeight="1">
      <c r="C38" s="107">
        <f t="shared" si="0"/>
        <v>-70.699999999999704</v>
      </c>
      <c r="D38" s="97">
        <f>(103.3+111+6+12+25.6)</f>
        <v>257.90000000000003</v>
      </c>
      <c r="E38" s="97">
        <v>348.7</v>
      </c>
      <c r="F38" s="97">
        <v>166.6</v>
      </c>
      <c r="G38" s="97">
        <v>1175.3</v>
      </c>
      <c r="H38" s="45">
        <v>897.1</v>
      </c>
      <c r="I38" s="98">
        <f t="shared" si="1"/>
        <v>2774.9</v>
      </c>
      <c r="J38" s="45">
        <f>387.4+31.9-35-0.3</f>
        <v>383.99999999999994</v>
      </c>
      <c r="K38" s="99">
        <f>175.5+35+0.3</f>
        <v>210.8</v>
      </c>
      <c r="L38" s="45">
        <f>1375.4-28.5</f>
        <v>1346.9</v>
      </c>
      <c r="M38" s="100">
        <f>401.4+431.8</f>
        <v>833.2</v>
      </c>
      <c r="N38" s="208">
        <v>1986</v>
      </c>
      <c r="O38" s="208">
        <f t="shared" si="2"/>
        <v>1986</v>
      </c>
      <c r="P38" s="209"/>
    </row>
    <row r="39" spans="2:29" ht="48.75" customHeight="1">
      <c r="C39" s="101">
        <f t="shared" si="0"/>
        <v>-27.999999999999773</v>
      </c>
      <c r="D39" s="102">
        <v>278</v>
      </c>
      <c r="E39" s="102">
        <v>382.2</v>
      </c>
      <c r="F39" s="102">
        <v>129</v>
      </c>
      <c r="G39" s="102">
        <v>1392.4</v>
      </c>
      <c r="H39" s="103">
        <v>979.8</v>
      </c>
      <c r="I39" s="104">
        <f t="shared" si="1"/>
        <v>3133.4</v>
      </c>
      <c r="J39" s="103">
        <f>588.1+30.3-31.1-0.3</f>
        <v>587</v>
      </c>
      <c r="K39" s="105">
        <f>235.1+34.2</f>
        <v>269.3</v>
      </c>
      <c r="L39" s="103">
        <f>1434.1-28.4</f>
        <v>1405.6999999999998</v>
      </c>
      <c r="M39" s="106">
        <v>871.4</v>
      </c>
      <c r="N39" s="210">
        <v>1987</v>
      </c>
      <c r="O39" s="210">
        <f t="shared" si="2"/>
        <v>1987</v>
      </c>
      <c r="P39" s="211"/>
    </row>
    <row r="40" spans="2:29" ht="48.75" customHeight="1">
      <c r="C40" s="107">
        <f t="shared" si="0"/>
        <v>-35.900000000000091</v>
      </c>
      <c r="D40" s="97">
        <v>314.89999999999998</v>
      </c>
      <c r="E40" s="97">
        <v>552.79999999999995</v>
      </c>
      <c r="F40" s="97">
        <v>126.1</v>
      </c>
      <c r="G40" s="97">
        <v>1465.4</v>
      </c>
      <c r="H40" s="45">
        <v>1181.4000000000001</v>
      </c>
      <c r="I40" s="98">
        <f t="shared" si="1"/>
        <v>3604.7000000000003</v>
      </c>
      <c r="J40" s="45">
        <f>908.3+30.3-37.9-5.5</f>
        <v>895.19999999999993</v>
      </c>
      <c r="K40" s="99">
        <f>259.1+37.3</f>
        <v>296.40000000000003</v>
      </c>
      <c r="L40" s="45">
        <f>1464.4-30.6+58.2</f>
        <v>1492.0000000000002</v>
      </c>
      <c r="M40" s="100">
        <f>218.5+702.6</f>
        <v>921.1</v>
      </c>
      <c r="N40" s="208">
        <v>1988</v>
      </c>
      <c r="O40" s="208">
        <f t="shared" si="2"/>
        <v>1988</v>
      </c>
      <c r="P40" s="209"/>
    </row>
    <row r="41" spans="2:29" ht="48.75" customHeight="1">
      <c r="C41" s="101">
        <f t="shared" si="0"/>
        <v>-20.099999999999454</v>
      </c>
      <c r="D41" s="102">
        <v>402.8</v>
      </c>
      <c r="E41" s="102">
        <v>505.7</v>
      </c>
      <c r="F41" s="102">
        <v>188.4</v>
      </c>
      <c r="G41" s="102">
        <v>1644.6</v>
      </c>
      <c r="H41" s="103">
        <v>1326.5</v>
      </c>
      <c r="I41" s="104">
        <f t="shared" si="1"/>
        <v>4047.9000000000005</v>
      </c>
      <c r="J41" s="103">
        <v>975.5</v>
      </c>
      <c r="K41" s="105">
        <f>251.2+33.7</f>
        <v>284.89999999999998</v>
      </c>
      <c r="L41" s="103">
        <f>1534.7+64.5</f>
        <v>1599.2</v>
      </c>
      <c r="M41" s="106">
        <f>330.1+858.2</f>
        <v>1188.3000000000002</v>
      </c>
      <c r="N41" s="210">
        <v>1989</v>
      </c>
      <c r="O41" s="210">
        <f t="shared" si="2"/>
        <v>1989</v>
      </c>
      <c r="P41" s="211"/>
    </row>
    <row r="42" spans="2:29" ht="48.75" customHeight="1">
      <c r="C42" s="107">
        <f t="shared" si="0"/>
        <v>210.90000000000055</v>
      </c>
      <c r="D42" s="97">
        <v>428.1</v>
      </c>
      <c r="E42" s="97">
        <v>460.6</v>
      </c>
      <c r="F42" s="97">
        <v>186.4</v>
      </c>
      <c r="G42" s="97">
        <v>1689.8</v>
      </c>
      <c r="H42" s="45">
        <v>1432.8</v>
      </c>
      <c r="I42" s="98">
        <f t="shared" si="1"/>
        <v>4408.6000000000004</v>
      </c>
      <c r="J42" s="45">
        <v>1004.5</v>
      </c>
      <c r="K42" s="99">
        <f>252.9+31.7</f>
        <v>284.60000000000002</v>
      </c>
      <c r="L42" s="45">
        <f>1653.7+49.3</f>
        <v>1703</v>
      </c>
      <c r="M42" s="100">
        <v>1416.5</v>
      </c>
      <c r="N42" s="208">
        <v>1990</v>
      </c>
      <c r="O42" s="208">
        <f t="shared" si="2"/>
        <v>1990</v>
      </c>
      <c r="P42" s="209"/>
    </row>
    <row r="43" spans="2:29" ht="48.75" customHeight="1">
      <c r="C43" s="101">
        <f t="shared" si="0"/>
        <v>224.20000000000027</v>
      </c>
      <c r="D43" s="102">
        <v>412.1</v>
      </c>
      <c r="E43" s="102">
        <v>1261.2</v>
      </c>
      <c r="F43" s="102">
        <v>423.1</v>
      </c>
      <c r="G43" s="102">
        <v>2117.1</v>
      </c>
      <c r="H43" s="103">
        <v>1600.4</v>
      </c>
      <c r="I43" s="104">
        <f t="shared" si="1"/>
        <v>6038.1</v>
      </c>
      <c r="J43" s="103">
        <v>968.9</v>
      </c>
      <c r="K43" s="105">
        <f>247.4+23.9</f>
        <v>271.3</v>
      </c>
      <c r="L43" s="103">
        <f>1804.2+37.6</f>
        <v>1841.8</v>
      </c>
      <c r="M43" s="106">
        <v>2956.1</v>
      </c>
      <c r="N43" s="210">
        <v>1991</v>
      </c>
      <c r="O43" s="210">
        <f t="shared" si="2"/>
        <v>1991</v>
      </c>
      <c r="P43" s="211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9" ht="48.75" customHeight="1">
      <c r="C44" s="108">
        <f t="shared" si="0"/>
        <v>200.70000000000073</v>
      </c>
      <c r="D44" s="109">
        <v>395.3</v>
      </c>
      <c r="E44" s="109">
        <v>1597.7</v>
      </c>
      <c r="F44" s="109">
        <v>229</v>
      </c>
      <c r="G44" s="109">
        <v>2476.9</v>
      </c>
      <c r="H44" s="109">
        <v>1716.1</v>
      </c>
      <c r="I44" s="110">
        <f t="shared" si="1"/>
        <v>6615.7000000000007</v>
      </c>
      <c r="J44" s="109">
        <v>938.7</v>
      </c>
      <c r="K44" s="111">
        <f>253.3+21.4</f>
        <v>274.7</v>
      </c>
      <c r="L44" s="109">
        <f>2026.4+50</f>
        <v>2076.4</v>
      </c>
      <c r="M44" s="112">
        <v>3325.9</v>
      </c>
      <c r="N44" s="206">
        <v>1992</v>
      </c>
      <c r="O44" s="206">
        <f t="shared" si="2"/>
        <v>1992</v>
      </c>
      <c r="P44" s="207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9" ht="6.95" customHeight="1">
      <c r="C45" s="97"/>
      <c r="D45" s="97"/>
      <c r="E45" s="97"/>
      <c r="F45" s="97"/>
      <c r="G45" s="97"/>
      <c r="H45" s="97"/>
      <c r="I45" s="113"/>
      <c r="J45" s="97"/>
      <c r="K45" s="114"/>
      <c r="L45" s="97"/>
      <c r="M45" s="97"/>
      <c r="N45" s="115"/>
      <c r="O45" s="115"/>
      <c r="P45" s="115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9" ht="17.100000000000001" customHeight="1">
      <c r="B46" s="10"/>
      <c r="C46" s="116" t="s">
        <v>57</v>
      </c>
      <c r="D46" s="117"/>
      <c r="E46" s="49"/>
      <c r="F46" s="117"/>
      <c r="G46" s="49"/>
      <c r="H46" s="49"/>
      <c r="I46" s="49"/>
      <c r="J46" s="118"/>
      <c r="K46" s="49"/>
      <c r="L46" s="49"/>
      <c r="M46" s="49"/>
      <c r="N46" s="119"/>
      <c r="O46" s="120" t="s">
        <v>51</v>
      </c>
      <c r="P46" s="119"/>
      <c r="Q46" s="10"/>
      <c r="R46" s="23"/>
      <c r="S46" s="23"/>
      <c r="T46" s="23"/>
      <c r="U46" s="23"/>
      <c r="V46" s="23"/>
      <c r="W46" s="23"/>
      <c r="X46" s="23"/>
      <c r="Y46" s="10"/>
      <c r="Z46" s="23"/>
      <c r="AA46" s="23"/>
      <c r="AB46" s="23"/>
      <c r="AC46" s="10"/>
    </row>
    <row r="47" spans="2:29" ht="19.5" customHeight="1">
      <c r="B47" s="10"/>
      <c r="C47" s="116" t="s">
        <v>54</v>
      </c>
      <c r="D47" s="117"/>
      <c r="E47" s="49"/>
      <c r="F47" s="117"/>
      <c r="G47" s="49"/>
      <c r="H47" s="49"/>
      <c r="I47" s="49"/>
      <c r="J47" s="118"/>
      <c r="K47" s="49"/>
      <c r="L47" s="49"/>
      <c r="M47" s="49"/>
      <c r="N47" s="119"/>
      <c r="O47" s="120" t="s">
        <v>52</v>
      </c>
      <c r="P47" s="119"/>
      <c r="Q47" s="10"/>
      <c r="R47" s="23"/>
      <c r="S47" s="23"/>
      <c r="T47" s="23"/>
      <c r="U47" s="23"/>
      <c r="V47" s="23"/>
      <c r="W47" s="23"/>
      <c r="X47" s="23"/>
      <c r="Y47" s="10"/>
      <c r="Z47" s="23"/>
      <c r="AA47" s="23"/>
      <c r="AB47" s="23"/>
      <c r="AC47" s="10"/>
    </row>
    <row r="48" spans="2:29" ht="17.100000000000001" customHeight="1">
      <c r="B48" s="10"/>
      <c r="C48" s="116" t="s">
        <v>55</v>
      </c>
      <c r="D48" s="117"/>
      <c r="E48" s="49"/>
      <c r="F48" s="117"/>
      <c r="G48" s="49"/>
      <c r="H48" s="49"/>
      <c r="I48" s="49"/>
      <c r="J48" s="118"/>
      <c r="K48" s="49"/>
      <c r="L48" s="49"/>
      <c r="M48" s="49"/>
      <c r="N48" s="119"/>
      <c r="O48" s="120" t="s">
        <v>53</v>
      </c>
      <c r="P48" s="119"/>
      <c r="Q48" s="10"/>
      <c r="R48" s="23"/>
      <c r="S48" s="23"/>
      <c r="T48" s="23"/>
      <c r="U48" s="23"/>
      <c r="V48" s="23"/>
      <c r="W48" s="23"/>
      <c r="X48" s="23"/>
      <c r="Y48" s="10"/>
      <c r="Z48" s="23"/>
      <c r="AA48" s="23"/>
      <c r="AB48" s="23"/>
      <c r="AC48" s="10"/>
    </row>
    <row r="49" spans="2:29" ht="20.25" customHeight="1">
      <c r="B49" s="10"/>
      <c r="C49" s="11"/>
      <c r="D49" s="6"/>
      <c r="E49" s="3"/>
      <c r="F49" s="6"/>
      <c r="G49" s="3"/>
      <c r="H49" s="3"/>
      <c r="I49" s="3"/>
      <c r="J49" s="7"/>
      <c r="K49" s="3"/>
      <c r="L49" s="3"/>
      <c r="M49" s="3"/>
      <c r="N49" s="4"/>
      <c r="O49" s="39"/>
      <c r="Q49" s="10"/>
      <c r="R49" s="23"/>
      <c r="S49" s="23"/>
      <c r="T49" s="23"/>
      <c r="U49" s="23"/>
      <c r="V49" s="23"/>
      <c r="W49" s="23"/>
      <c r="X49" s="23"/>
      <c r="Y49" s="10"/>
      <c r="Z49" s="23"/>
      <c r="AA49" s="23"/>
      <c r="AB49" s="23"/>
      <c r="AC49" s="10"/>
    </row>
    <row r="50" spans="2:29" ht="25.5">
      <c r="B50" s="10"/>
      <c r="C50" s="200" t="s">
        <v>64</v>
      </c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10"/>
      <c r="R50" s="23"/>
      <c r="S50" s="23"/>
      <c r="T50" s="23"/>
      <c r="U50" s="23"/>
      <c r="V50" s="23"/>
      <c r="W50" s="23"/>
      <c r="X50" s="23"/>
      <c r="Y50" s="10"/>
      <c r="Z50" s="23"/>
      <c r="AA50" s="23"/>
      <c r="AB50" s="23"/>
      <c r="AC50" s="10"/>
    </row>
    <row r="51" spans="2:29" ht="28.35" customHeight="1">
      <c r="B51" s="10"/>
      <c r="C51" s="201" t="s">
        <v>65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10"/>
      <c r="R51" s="23"/>
      <c r="S51" s="23"/>
      <c r="T51" s="23"/>
      <c r="U51" s="23"/>
      <c r="V51" s="23"/>
      <c r="W51" s="23"/>
      <c r="X51" s="23"/>
      <c r="Y51" s="10"/>
      <c r="Z51" s="23"/>
      <c r="AA51" s="23"/>
      <c r="AB51" s="23"/>
      <c r="AC51" s="10"/>
    </row>
    <row r="52" spans="2:29" ht="28.35" customHeight="1">
      <c r="B52" s="10"/>
      <c r="C52" s="116" t="s">
        <v>49</v>
      </c>
      <c r="D52" s="121"/>
      <c r="E52" s="121"/>
      <c r="F52" s="122"/>
      <c r="G52" s="123"/>
      <c r="H52" s="121"/>
      <c r="I52" s="121"/>
      <c r="J52" s="124"/>
      <c r="K52" s="125"/>
      <c r="L52" s="125"/>
      <c r="M52" s="126"/>
      <c r="N52" s="126"/>
      <c r="O52" s="127"/>
      <c r="P52" s="128" t="s">
        <v>46</v>
      </c>
      <c r="Q52" s="10"/>
      <c r="R52" s="23"/>
      <c r="S52" s="23"/>
      <c r="T52" s="23"/>
      <c r="U52" s="23"/>
      <c r="V52" s="23"/>
      <c r="W52" s="23"/>
      <c r="X52" s="23"/>
      <c r="Y52" s="10"/>
      <c r="Z52" s="23"/>
      <c r="AA52" s="23"/>
      <c r="AB52" s="23"/>
      <c r="AC52" s="10"/>
    </row>
    <row r="53" spans="2:29" ht="17.100000000000001" customHeight="1">
      <c r="C53" s="129"/>
      <c r="D53" s="47"/>
      <c r="E53" s="47"/>
      <c r="F53" s="48"/>
      <c r="G53" s="49"/>
      <c r="H53" s="50"/>
      <c r="I53" s="47"/>
      <c r="J53" s="51"/>
      <c r="K53" s="52"/>
      <c r="L53" s="52"/>
      <c r="M53" s="53"/>
      <c r="N53" s="53"/>
      <c r="O53" s="54"/>
      <c r="P53" s="13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9" ht="27" customHeight="1">
      <c r="C54" s="131"/>
      <c r="D54" s="132" t="s">
        <v>66</v>
      </c>
      <c r="E54" s="133"/>
      <c r="F54" s="133"/>
      <c r="G54" s="133"/>
      <c r="H54" s="133"/>
      <c r="I54" s="134" t="s">
        <v>0</v>
      </c>
      <c r="J54" s="133"/>
      <c r="K54" s="135" t="s">
        <v>67</v>
      </c>
      <c r="L54" s="202" t="s">
        <v>68</v>
      </c>
      <c r="M54" s="202"/>
      <c r="N54" s="202"/>
      <c r="O54" s="136"/>
      <c r="P54" s="137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9" s="19" customFormat="1" ht="21.2" customHeight="1">
      <c r="C55" s="138"/>
      <c r="D55" s="139"/>
      <c r="E55" s="139"/>
      <c r="F55" s="139"/>
      <c r="G55" s="139"/>
      <c r="H55" s="203" t="s">
        <v>69</v>
      </c>
      <c r="I55" s="203"/>
      <c r="J55" s="203"/>
      <c r="K55" s="204"/>
      <c r="L55" s="205" t="s">
        <v>70</v>
      </c>
      <c r="M55" s="205"/>
      <c r="N55" s="205"/>
      <c r="O55" s="140"/>
      <c r="P55" s="141"/>
      <c r="Q55" s="20"/>
      <c r="R55" s="24"/>
      <c r="S55" s="23"/>
      <c r="T55" s="10"/>
      <c r="U55" s="23"/>
      <c r="V55" s="25"/>
      <c r="W55" s="20"/>
      <c r="X55" s="20"/>
      <c r="Y55" s="20"/>
      <c r="Z55" s="20"/>
    </row>
    <row r="56" spans="2:29" s="19" customFormat="1" ht="21.2" customHeight="1">
      <c r="C56" s="138"/>
      <c r="D56" s="142"/>
      <c r="E56" s="142"/>
      <c r="F56" s="142"/>
      <c r="G56" s="143" t="s">
        <v>71</v>
      </c>
      <c r="H56" s="196" t="s">
        <v>72</v>
      </c>
      <c r="I56" s="196"/>
      <c r="J56" s="196"/>
      <c r="K56" s="197"/>
      <c r="L56" s="144"/>
      <c r="M56" s="145"/>
      <c r="N56" s="146"/>
      <c r="O56" s="147"/>
      <c r="P56" s="141"/>
      <c r="Q56" s="20"/>
      <c r="R56" s="23"/>
      <c r="S56" s="23"/>
      <c r="T56" s="23"/>
      <c r="U56" s="23"/>
      <c r="V56" s="10"/>
      <c r="W56" s="20"/>
      <c r="X56" s="20"/>
      <c r="Y56" s="20"/>
      <c r="Z56" s="20"/>
    </row>
    <row r="57" spans="2:29" s="19" customFormat="1" ht="21.2" customHeight="1">
      <c r="C57" s="148"/>
      <c r="D57" s="149"/>
      <c r="E57" s="142"/>
      <c r="F57" s="150"/>
      <c r="G57" s="149" t="s">
        <v>73</v>
      </c>
      <c r="H57" s="151"/>
      <c r="I57" s="152"/>
      <c r="J57" s="153" t="s">
        <v>74</v>
      </c>
      <c r="K57" s="153" t="s">
        <v>74</v>
      </c>
      <c r="L57" s="139"/>
      <c r="M57" s="154"/>
      <c r="N57" s="139"/>
      <c r="O57" s="198"/>
      <c r="P57" s="199"/>
      <c r="Q57" s="20"/>
      <c r="R57" s="23"/>
      <c r="S57" s="23"/>
      <c r="T57" s="23"/>
      <c r="U57" s="23"/>
      <c r="V57" s="23"/>
      <c r="W57" s="20"/>
      <c r="X57" s="20"/>
      <c r="Y57" s="20"/>
      <c r="Z57" s="20"/>
    </row>
    <row r="58" spans="2:29" s="19" customFormat="1" ht="21.2" customHeight="1">
      <c r="C58" s="155"/>
      <c r="D58" s="156"/>
      <c r="E58" s="143" t="s">
        <v>75</v>
      </c>
      <c r="F58" s="143" t="s">
        <v>47</v>
      </c>
      <c r="G58" s="149" t="s">
        <v>3</v>
      </c>
      <c r="H58" s="156"/>
      <c r="I58" s="143" t="s">
        <v>47</v>
      </c>
      <c r="J58" s="149" t="s">
        <v>76</v>
      </c>
      <c r="K58" s="149" t="s">
        <v>76</v>
      </c>
      <c r="L58" s="142"/>
      <c r="M58" s="157"/>
      <c r="N58" s="158"/>
      <c r="O58" s="198"/>
      <c r="P58" s="199"/>
      <c r="Q58" s="20"/>
      <c r="R58" s="9"/>
      <c r="S58" s="26"/>
      <c r="T58" s="23"/>
      <c r="U58" s="26"/>
      <c r="V58" s="26"/>
      <c r="W58" s="20"/>
      <c r="X58" s="20"/>
      <c r="Y58" s="20"/>
      <c r="Z58" s="20"/>
    </row>
    <row r="59" spans="2:29" s="19" customFormat="1" ht="21.2" customHeight="1">
      <c r="C59" s="159" t="s">
        <v>1</v>
      </c>
      <c r="D59" s="156"/>
      <c r="E59" s="143" t="s">
        <v>77</v>
      </c>
      <c r="F59" s="149" t="s">
        <v>78</v>
      </c>
      <c r="G59" s="149" t="s">
        <v>11</v>
      </c>
      <c r="H59" s="156"/>
      <c r="I59" s="149" t="s">
        <v>78</v>
      </c>
      <c r="J59" s="149" t="s">
        <v>79</v>
      </c>
      <c r="K59" s="149" t="s">
        <v>80</v>
      </c>
      <c r="L59" s="160"/>
      <c r="M59" s="161" t="s">
        <v>81</v>
      </c>
      <c r="N59" s="143" t="s">
        <v>82</v>
      </c>
      <c r="O59" s="198" t="s">
        <v>13</v>
      </c>
      <c r="P59" s="199"/>
      <c r="Q59" s="20"/>
      <c r="R59" s="9"/>
      <c r="S59" s="26"/>
      <c r="T59" s="10"/>
      <c r="U59" s="26"/>
      <c r="V59" s="27"/>
      <c r="W59" s="20"/>
      <c r="X59" s="20"/>
      <c r="Y59" s="20"/>
      <c r="Z59" s="20"/>
    </row>
    <row r="60" spans="2:29" s="19" customFormat="1" ht="21.2" customHeight="1">
      <c r="C60" s="148" t="s">
        <v>83</v>
      </c>
      <c r="D60" s="156" t="s">
        <v>84</v>
      </c>
      <c r="E60" s="149" t="s">
        <v>4</v>
      </c>
      <c r="F60" s="149" t="s">
        <v>85</v>
      </c>
      <c r="G60" s="149" t="s">
        <v>86</v>
      </c>
      <c r="H60" s="156" t="s">
        <v>84</v>
      </c>
      <c r="I60" s="149" t="s">
        <v>87</v>
      </c>
      <c r="J60" s="149" t="s">
        <v>88</v>
      </c>
      <c r="K60" s="149" t="s">
        <v>89</v>
      </c>
      <c r="L60" s="160" t="s">
        <v>84</v>
      </c>
      <c r="M60" s="157" t="s">
        <v>90</v>
      </c>
      <c r="N60" s="149" t="s">
        <v>91</v>
      </c>
      <c r="O60" s="198" t="s">
        <v>17</v>
      </c>
      <c r="P60" s="199"/>
      <c r="Q60" s="10"/>
      <c r="R60" s="26"/>
      <c r="S60" s="26"/>
      <c r="T60" s="26"/>
      <c r="U60" s="26"/>
      <c r="V60" s="27"/>
      <c r="W60" s="20"/>
      <c r="X60" s="20"/>
      <c r="Y60" s="20"/>
      <c r="Z60" s="20"/>
    </row>
    <row r="61" spans="2:29" s="19" customFormat="1" ht="21.2" customHeight="1">
      <c r="C61" s="148"/>
      <c r="D61" s="156"/>
      <c r="E61" s="149"/>
      <c r="F61" s="162"/>
      <c r="G61" s="149"/>
      <c r="H61" s="156"/>
      <c r="I61" s="162"/>
      <c r="J61" s="149"/>
      <c r="K61" s="149"/>
      <c r="L61" s="156"/>
      <c r="M61" s="157"/>
      <c r="N61" s="149"/>
      <c r="O61" s="194"/>
      <c r="P61" s="195"/>
      <c r="Q61" s="20"/>
      <c r="R61" s="9"/>
      <c r="S61" s="26"/>
      <c r="T61" s="26"/>
      <c r="U61" s="26"/>
      <c r="V61" s="26"/>
      <c r="W61" s="20"/>
      <c r="X61" s="20"/>
      <c r="Y61" s="20"/>
      <c r="Z61" s="20"/>
    </row>
    <row r="62" spans="2:29" s="21" customFormat="1" ht="21.2" customHeight="1">
      <c r="C62" s="148"/>
      <c r="D62" s="156"/>
      <c r="E62" s="149"/>
      <c r="F62" s="162"/>
      <c r="G62" s="149" t="s">
        <v>19</v>
      </c>
      <c r="H62" s="156"/>
      <c r="I62" s="162"/>
      <c r="J62" s="149" t="s">
        <v>92</v>
      </c>
      <c r="K62" s="149" t="s">
        <v>92</v>
      </c>
      <c r="L62" s="156"/>
      <c r="M62" s="157"/>
      <c r="N62" s="149"/>
      <c r="O62" s="194"/>
      <c r="P62" s="195"/>
      <c r="Q62" s="22"/>
      <c r="R62" s="28"/>
      <c r="S62" s="29"/>
      <c r="T62" s="29"/>
      <c r="U62" s="29"/>
      <c r="V62" s="29"/>
      <c r="W62" s="22"/>
      <c r="X62" s="22"/>
      <c r="Y62" s="22"/>
      <c r="Z62" s="22"/>
    </row>
    <row r="63" spans="2:29" s="21" customFormat="1" ht="21.2" customHeight="1">
      <c r="C63" s="148" t="s">
        <v>23</v>
      </c>
      <c r="D63" s="156"/>
      <c r="E63" s="149" t="s">
        <v>20</v>
      </c>
      <c r="F63" s="149" t="s">
        <v>19</v>
      </c>
      <c r="G63" s="149" t="s">
        <v>26</v>
      </c>
      <c r="H63" s="156"/>
      <c r="I63" s="149" t="s">
        <v>19</v>
      </c>
      <c r="J63" s="149" t="s">
        <v>93</v>
      </c>
      <c r="K63" s="149" t="s">
        <v>93</v>
      </c>
      <c r="L63" s="156"/>
      <c r="M63" s="157"/>
      <c r="N63" s="149"/>
      <c r="O63" s="194"/>
      <c r="P63" s="195"/>
      <c r="Q63" s="22"/>
      <c r="R63" s="28"/>
      <c r="S63" s="29"/>
      <c r="T63" s="29"/>
      <c r="U63" s="29"/>
      <c r="V63" s="29"/>
      <c r="W63" s="22"/>
      <c r="X63" s="22"/>
      <c r="Y63" s="22"/>
      <c r="Z63" s="22"/>
    </row>
    <row r="64" spans="2:29" s="21" customFormat="1" ht="21.2" customHeight="1">
      <c r="C64" s="148" t="s">
        <v>33</v>
      </c>
      <c r="D64" s="156"/>
      <c r="E64" s="149" t="s">
        <v>28</v>
      </c>
      <c r="F64" s="149" t="s">
        <v>94</v>
      </c>
      <c r="G64" s="149" t="s">
        <v>35</v>
      </c>
      <c r="H64" s="156"/>
      <c r="I64" s="149" t="s">
        <v>95</v>
      </c>
      <c r="J64" s="149" t="s">
        <v>96</v>
      </c>
      <c r="K64" s="149" t="s">
        <v>97</v>
      </c>
      <c r="L64" s="156"/>
      <c r="M64" s="157" t="s">
        <v>98</v>
      </c>
      <c r="N64" s="149" t="s">
        <v>99</v>
      </c>
      <c r="O64" s="194" t="s">
        <v>27</v>
      </c>
      <c r="P64" s="195"/>
      <c r="Q64" s="22"/>
      <c r="R64" s="28"/>
      <c r="S64" s="29"/>
      <c r="T64" s="29"/>
      <c r="U64" s="29"/>
      <c r="V64" s="29"/>
      <c r="W64" s="22"/>
      <c r="X64" s="22"/>
      <c r="Y64" s="22"/>
      <c r="Z64" s="22"/>
    </row>
    <row r="65" spans="2:26" s="21" customFormat="1" ht="21.2" customHeight="1">
      <c r="C65" s="163" t="s">
        <v>100</v>
      </c>
      <c r="D65" s="164" t="s">
        <v>101</v>
      </c>
      <c r="E65" s="165" t="s">
        <v>38</v>
      </c>
      <c r="F65" s="165" t="s">
        <v>102</v>
      </c>
      <c r="G65" s="165" t="s">
        <v>103</v>
      </c>
      <c r="H65" s="164" t="s">
        <v>101</v>
      </c>
      <c r="I65" s="165" t="s">
        <v>104</v>
      </c>
      <c r="J65" s="165" t="s">
        <v>105</v>
      </c>
      <c r="K65" s="165" t="s">
        <v>105</v>
      </c>
      <c r="L65" s="164" t="s">
        <v>101</v>
      </c>
      <c r="M65" s="166" t="s">
        <v>106</v>
      </c>
      <c r="N65" s="165" t="s">
        <v>107</v>
      </c>
      <c r="O65" s="194" t="s">
        <v>37</v>
      </c>
      <c r="P65" s="195"/>
      <c r="Q65" s="22"/>
      <c r="R65" s="28"/>
      <c r="S65" s="29"/>
      <c r="T65" s="29"/>
      <c r="U65" s="29"/>
      <c r="V65" s="29"/>
      <c r="W65" s="22"/>
      <c r="X65" s="22"/>
      <c r="Y65" s="22"/>
      <c r="Z65" s="22"/>
    </row>
    <row r="66" spans="2:26" s="19" customFormat="1" ht="48.75" customHeight="1">
      <c r="C66" s="167">
        <f t="shared" ref="C66:C86" si="3">D66+L66</f>
        <v>4481.7999999999993</v>
      </c>
      <c r="D66" s="168">
        <f t="shared" ref="D66:D87" si="4">E66+F66+G66+H66</f>
        <v>2838.8999999999996</v>
      </c>
      <c r="E66" s="169">
        <v>-651.1</v>
      </c>
      <c r="F66" s="169">
        <v>106.9</v>
      </c>
      <c r="G66" s="169">
        <v>2316.1999999999998</v>
      </c>
      <c r="H66" s="168">
        <f t="shared" ref="H66:H87" si="5">K66+J66+I66</f>
        <v>1066.8999999999999</v>
      </c>
      <c r="I66" s="169">
        <v>296.8</v>
      </c>
      <c r="J66" s="169">
        <v>-102.2</v>
      </c>
      <c r="K66" s="169">
        <v>872.3</v>
      </c>
      <c r="L66" s="168">
        <f t="shared" ref="L66:L85" si="6">M66+N66</f>
        <v>1642.9</v>
      </c>
      <c r="M66" s="169">
        <v>35</v>
      </c>
      <c r="N66" s="170">
        <v>1607.9</v>
      </c>
      <c r="O66" s="188" t="s">
        <v>108</v>
      </c>
      <c r="P66" s="189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2:26" ht="48.75" customHeight="1">
      <c r="B67" s="33"/>
      <c r="C67" s="171">
        <f t="shared" si="3"/>
        <v>4841.5</v>
      </c>
      <c r="D67" s="172">
        <f t="shared" si="4"/>
        <v>3135.8</v>
      </c>
      <c r="E67" s="173">
        <v>-812.7</v>
      </c>
      <c r="F67" s="173">
        <v>123.9</v>
      </c>
      <c r="G67" s="173">
        <v>2769.9</v>
      </c>
      <c r="H67" s="172">
        <f t="shared" si="5"/>
        <v>1054.7</v>
      </c>
      <c r="I67" s="173">
        <v>341.9</v>
      </c>
      <c r="J67" s="173">
        <v>-107.8</v>
      </c>
      <c r="K67" s="174">
        <v>820.6</v>
      </c>
      <c r="L67" s="175">
        <f t="shared" si="6"/>
        <v>1705.7</v>
      </c>
      <c r="M67" s="173">
        <v>-83.5</v>
      </c>
      <c r="N67" s="176">
        <v>1789.2</v>
      </c>
      <c r="O67" s="192">
        <v>1994</v>
      </c>
      <c r="P67" s="193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2:26" ht="48.75" customHeight="1">
      <c r="B68" s="33"/>
      <c r="C68" s="167">
        <f t="shared" si="3"/>
        <v>5159.7999999999993</v>
      </c>
      <c r="D68" s="168">
        <f t="shared" si="4"/>
        <v>3333.7999999999993</v>
      </c>
      <c r="E68" s="169">
        <v>-1037.7</v>
      </c>
      <c r="F68" s="169">
        <v>134</v>
      </c>
      <c r="G68" s="169">
        <v>3200.1</v>
      </c>
      <c r="H68" s="168">
        <f t="shared" si="5"/>
        <v>1037.3999999999999</v>
      </c>
      <c r="I68" s="169">
        <v>362.2</v>
      </c>
      <c r="J68" s="169">
        <v>-91.7</v>
      </c>
      <c r="K68" s="169">
        <v>766.9</v>
      </c>
      <c r="L68" s="177">
        <f t="shared" si="6"/>
        <v>1826</v>
      </c>
      <c r="M68" s="169">
        <v>-192.3</v>
      </c>
      <c r="N68" s="170">
        <v>2018.3</v>
      </c>
      <c r="O68" s="188">
        <v>1995</v>
      </c>
      <c r="P68" s="189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2:26" s="10" customFormat="1" ht="48.75" customHeight="1">
      <c r="B69" s="8"/>
      <c r="C69" s="171">
        <f t="shared" si="3"/>
        <v>5175.3</v>
      </c>
      <c r="D69" s="172">
        <f t="shared" si="4"/>
        <v>3332.9</v>
      </c>
      <c r="E69" s="173">
        <v>-1132.0999999999999</v>
      </c>
      <c r="F69" s="173">
        <v>131.5</v>
      </c>
      <c r="G69" s="173">
        <v>3362.9</v>
      </c>
      <c r="H69" s="172">
        <f t="shared" si="5"/>
        <v>970.6</v>
      </c>
      <c r="I69" s="173">
        <v>408.9</v>
      </c>
      <c r="J69" s="173">
        <v>-92.8</v>
      </c>
      <c r="K69" s="174">
        <v>654.5</v>
      </c>
      <c r="L69" s="175">
        <f t="shared" si="6"/>
        <v>1842.4</v>
      </c>
      <c r="M69" s="173">
        <v>-181.3</v>
      </c>
      <c r="N69" s="176">
        <v>2023.7</v>
      </c>
      <c r="O69" s="192">
        <v>1996</v>
      </c>
      <c r="P69" s="193"/>
    </row>
    <row r="70" spans="2:26" s="10" customFormat="1" ht="48.75" customHeight="1">
      <c r="B70" s="8"/>
      <c r="C70" s="167">
        <f t="shared" si="3"/>
        <v>5576.6</v>
      </c>
      <c r="D70" s="168">
        <f t="shared" si="4"/>
        <v>3313.1000000000004</v>
      </c>
      <c r="E70" s="169">
        <v>-1277.3</v>
      </c>
      <c r="F70" s="169">
        <v>128.69999999999999</v>
      </c>
      <c r="G70" s="169">
        <v>3535.3</v>
      </c>
      <c r="H70" s="168">
        <f t="shared" si="5"/>
        <v>926.4</v>
      </c>
      <c r="I70" s="169">
        <v>425.3</v>
      </c>
      <c r="J70" s="169">
        <v>-100.2</v>
      </c>
      <c r="K70" s="169">
        <v>601.29999999999995</v>
      </c>
      <c r="L70" s="177">
        <f t="shared" si="6"/>
        <v>2263.5</v>
      </c>
      <c r="M70" s="169">
        <v>-5.2</v>
      </c>
      <c r="N70" s="170">
        <v>2268.6999999999998</v>
      </c>
      <c r="O70" s="188">
        <v>1997</v>
      </c>
      <c r="P70" s="189"/>
    </row>
    <row r="71" spans="2:26" s="10" customFormat="1" ht="48.75" customHeight="1">
      <c r="B71" s="8"/>
      <c r="C71" s="171">
        <f t="shared" si="3"/>
        <v>6003.2999999999993</v>
      </c>
      <c r="D71" s="172">
        <f>E71+F71+G71+H71</f>
        <v>3628.3999999999996</v>
      </c>
      <c r="E71" s="173">
        <v>-1647</v>
      </c>
      <c r="F71" s="173">
        <v>126</v>
      </c>
      <c r="G71" s="173">
        <v>3812.7</v>
      </c>
      <c r="H71" s="172">
        <f>K71+J71+I71</f>
        <v>1336.7</v>
      </c>
      <c r="I71" s="173">
        <v>381.3</v>
      </c>
      <c r="J71" s="173">
        <v>-119.1</v>
      </c>
      <c r="K71" s="174">
        <v>1074.5</v>
      </c>
      <c r="L71" s="175">
        <f>M71+N71</f>
        <v>2374.9</v>
      </c>
      <c r="M71" s="173">
        <v>374</v>
      </c>
      <c r="N71" s="176">
        <v>2000.9</v>
      </c>
      <c r="O71" s="192">
        <v>1998</v>
      </c>
      <c r="P71" s="193"/>
    </row>
    <row r="72" spans="2:26" s="10" customFormat="1" ht="48.75" customHeight="1">
      <c r="B72" s="8"/>
      <c r="C72" s="167">
        <f t="shared" si="3"/>
        <v>6026.3</v>
      </c>
      <c r="D72" s="168">
        <f t="shared" si="4"/>
        <v>3651.5</v>
      </c>
      <c r="E72" s="169">
        <v>-1647.1</v>
      </c>
      <c r="F72" s="169">
        <v>70.599999999999994</v>
      </c>
      <c r="G72" s="169">
        <v>3839.6</v>
      </c>
      <c r="H72" s="168">
        <f t="shared" si="5"/>
        <v>1388.4</v>
      </c>
      <c r="I72" s="169">
        <v>303.10000000000002</v>
      </c>
      <c r="J72" s="169">
        <v>-53.4</v>
      </c>
      <c r="K72" s="169">
        <v>1138.7</v>
      </c>
      <c r="L72" s="177">
        <f t="shared" si="6"/>
        <v>2374.8000000000002</v>
      </c>
      <c r="M72" s="169">
        <v>373.9</v>
      </c>
      <c r="N72" s="170">
        <v>2000.9</v>
      </c>
      <c r="O72" s="188" t="s">
        <v>109</v>
      </c>
      <c r="P72" s="189"/>
    </row>
    <row r="73" spans="2:26" s="10" customFormat="1" ht="48.75" customHeight="1">
      <c r="B73" s="8"/>
      <c r="C73" s="171">
        <f t="shared" si="3"/>
        <v>6747.6</v>
      </c>
      <c r="D73" s="172">
        <f>E73+F73+G73+H73</f>
        <v>3744.2000000000003</v>
      </c>
      <c r="E73" s="173">
        <v>-1861.5</v>
      </c>
      <c r="F73" s="173">
        <v>78.400000000000006</v>
      </c>
      <c r="G73" s="173">
        <v>4032.1</v>
      </c>
      <c r="H73" s="172">
        <f t="shared" si="5"/>
        <v>1495.2000000000003</v>
      </c>
      <c r="I73" s="173">
        <v>307.89999999999998</v>
      </c>
      <c r="J73" s="173">
        <v>-47.6</v>
      </c>
      <c r="K73" s="174">
        <v>1234.9000000000001</v>
      </c>
      <c r="L73" s="175">
        <f t="shared" si="6"/>
        <v>3003.3999999999996</v>
      </c>
      <c r="M73" s="173">
        <v>578.70000000000005</v>
      </c>
      <c r="N73" s="176">
        <v>2424.6999999999998</v>
      </c>
      <c r="O73" s="192">
        <v>1999</v>
      </c>
      <c r="P73" s="193"/>
      <c r="Z73" s="8"/>
    </row>
    <row r="74" spans="2:26" s="10" customFormat="1" ht="48.75" customHeight="1">
      <c r="B74" s="8"/>
      <c r="C74" s="167">
        <f t="shared" si="3"/>
        <v>7434.6999999999989</v>
      </c>
      <c r="D74" s="168">
        <f t="shared" si="4"/>
        <v>3582.5999999999995</v>
      </c>
      <c r="E74" s="169">
        <v>-2130</v>
      </c>
      <c r="F74" s="169">
        <v>79.900000000000006</v>
      </c>
      <c r="G74" s="169">
        <v>4211.8999999999996</v>
      </c>
      <c r="H74" s="168">
        <f t="shared" si="5"/>
        <v>1420.7999999999997</v>
      </c>
      <c r="I74" s="169">
        <v>317.89999999999998</v>
      </c>
      <c r="J74" s="169">
        <v>-103.2</v>
      </c>
      <c r="K74" s="169">
        <v>1206.0999999999999</v>
      </c>
      <c r="L74" s="177">
        <f t="shared" si="6"/>
        <v>3852.1</v>
      </c>
      <c r="M74" s="169">
        <v>1004</v>
      </c>
      <c r="N74" s="170">
        <v>2848.1</v>
      </c>
      <c r="O74" s="188">
        <v>2000</v>
      </c>
      <c r="P74" s="189"/>
      <c r="Q74" s="38"/>
      <c r="S74" s="37"/>
      <c r="U74" s="8"/>
      <c r="Z74" s="8"/>
    </row>
    <row r="75" spans="2:26" s="10" customFormat="1" ht="48.75" customHeight="1">
      <c r="B75" s="8"/>
      <c r="C75" s="171">
        <f t="shared" si="3"/>
        <v>7866.1</v>
      </c>
      <c r="D75" s="172">
        <f t="shared" si="4"/>
        <v>3875.1000000000004</v>
      </c>
      <c r="E75" s="173">
        <v>-2487.5</v>
      </c>
      <c r="F75" s="173">
        <v>78.7</v>
      </c>
      <c r="G75" s="173">
        <v>4695.6000000000004</v>
      </c>
      <c r="H75" s="172">
        <f t="shared" si="5"/>
        <v>1588.3</v>
      </c>
      <c r="I75" s="173">
        <v>284.3</v>
      </c>
      <c r="J75" s="173">
        <v>-60.7</v>
      </c>
      <c r="K75" s="174">
        <v>1364.7</v>
      </c>
      <c r="L75" s="175">
        <f t="shared" si="6"/>
        <v>3991</v>
      </c>
      <c r="M75" s="173">
        <v>1340.6</v>
      </c>
      <c r="N75" s="176">
        <v>2650.4</v>
      </c>
      <c r="O75" s="192">
        <v>2001</v>
      </c>
      <c r="P75" s="193">
        <f>P74+1</f>
        <v>1</v>
      </c>
      <c r="Q75"/>
      <c r="S75" s="37"/>
      <c r="U75" s="8"/>
      <c r="Z75" s="8"/>
    </row>
    <row r="76" spans="2:26" s="10" customFormat="1" ht="48.75" customHeight="1">
      <c r="B76" s="8"/>
      <c r="C76" s="167">
        <f t="shared" si="3"/>
        <v>8419.1</v>
      </c>
      <c r="D76" s="168">
        <f t="shared" si="4"/>
        <v>4000.4</v>
      </c>
      <c r="E76" s="169">
        <v>-2587.9</v>
      </c>
      <c r="F76" s="169">
        <v>74.5</v>
      </c>
      <c r="G76" s="169">
        <v>4847.8</v>
      </c>
      <c r="H76" s="168">
        <f t="shared" si="5"/>
        <v>1666</v>
      </c>
      <c r="I76" s="169">
        <v>261.3</v>
      </c>
      <c r="J76" s="169">
        <v>-50</v>
      </c>
      <c r="K76" s="169">
        <v>1454.7</v>
      </c>
      <c r="L76" s="177">
        <f t="shared" si="6"/>
        <v>4418.7</v>
      </c>
      <c r="M76" s="169">
        <v>1147.5999999999999</v>
      </c>
      <c r="N76" s="170">
        <v>3271.1</v>
      </c>
      <c r="O76" s="188">
        <v>2002</v>
      </c>
      <c r="P76" s="189">
        <f>P75+1</f>
        <v>2</v>
      </c>
      <c r="Q76"/>
      <c r="S76" s="37"/>
      <c r="U76" s="8"/>
      <c r="Z76" s="8"/>
    </row>
    <row r="77" spans="2:26" s="10" customFormat="1" ht="48.75" customHeight="1">
      <c r="B77" s="8"/>
      <c r="C77" s="171">
        <f t="shared" si="3"/>
        <v>9465.7000000000007</v>
      </c>
      <c r="D77" s="172">
        <f t="shared" si="4"/>
        <v>3973.2</v>
      </c>
      <c r="E77" s="173">
        <v>-2739.3</v>
      </c>
      <c r="F77" s="173">
        <v>73.400000000000006</v>
      </c>
      <c r="G77" s="173">
        <v>5015.5</v>
      </c>
      <c r="H77" s="172">
        <f t="shared" si="5"/>
        <v>1623.6</v>
      </c>
      <c r="I77" s="173">
        <v>278</v>
      </c>
      <c r="J77" s="173">
        <v>-44.2</v>
      </c>
      <c r="K77" s="174">
        <v>1389.8</v>
      </c>
      <c r="L77" s="175">
        <f t="shared" si="6"/>
        <v>5492.5</v>
      </c>
      <c r="M77" s="173">
        <v>1277.0999999999999</v>
      </c>
      <c r="N77" s="176">
        <v>4215.3999999999996</v>
      </c>
      <c r="O77" s="192">
        <v>2003</v>
      </c>
      <c r="P77" s="193">
        <f>P76+1</f>
        <v>3</v>
      </c>
      <c r="Q77"/>
      <c r="S77" s="37"/>
      <c r="U77" s="8"/>
      <c r="Z77" s="8"/>
    </row>
    <row r="78" spans="2:26" s="10" customFormat="1" ht="48.75" customHeight="1">
      <c r="B78" s="8"/>
      <c r="C78" s="167">
        <f>D78+L78</f>
        <v>10571.400000000001</v>
      </c>
      <c r="D78" s="168">
        <f>E78+F78+G78+H78</f>
        <v>4761.6000000000004</v>
      </c>
      <c r="E78" s="169">
        <v>-3110.1</v>
      </c>
      <c r="F78" s="169">
        <v>94.5</v>
      </c>
      <c r="G78" s="169">
        <v>5885</v>
      </c>
      <c r="H78" s="168">
        <f>K78+J78+I78</f>
        <v>1892.2</v>
      </c>
      <c r="I78" s="169">
        <v>483.2</v>
      </c>
      <c r="J78" s="169">
        <v>-191.9</v>
      </c>
      <c r="K78" s="169">
        <v>1600.9</v>
      </c>
      <c r="L78" s="177">
        <f t="shared" si="6"/>
        <v>5809.8</v>
      </c>
      <c r="M78" s="169">
        <v>1533.3</v>
      </c>
      <c r="N78" s="170">
        <v>4276.5</v>
      </c>
      <c r="O78" s="188">
        <v>2004</v>
      </c>
      <c r="P78" s="189">
        <v>2004</v>
      </c>
      <c r="Q78"/>
      <c r="S78" s="37"/>
      <c r="U78" s="8"/>
      <c r="Z78" s="8"/>
    </row>
    <row r="79" spans="2:26" s="10" customFormat="1" ht="48.75" customHeight="1">
      <c r="B79" s="8"/>
      <c r="C79" s="171">
        <f t="shared" si="3"/>
        <v>12364.1</v>
      </c>
      <c r="D79" s="172">
        <f t="shared" si="4"/>
        <v>6363.4</v>
      </c>
      <c r="E79" s="173">
        <v>-3794.3</v>
      </c>
      <c r="F79" s="173">
        <v>152.6</v>
      </c>
      <c r="G79" s="173">
        <v>7668.7</v>
      </c>
      <c r="H79" s="172">
        <f t="shared" si="5"/>
        <v>2336.4</v>
      </c>
      <c r="I79" s="173">
        <v>528.1</v>
      </c>
      <c r="J79" s="173">
        <v>-108.6</v>
      </c>
      <c r="K79" s="174">
        <v>1916.9</v>
      </c>
      <c r="L79" s="175">
        <f t="shared" si="6"/>
        <v>6000.7000000000007</v>
      </c>
      <c r="M79" s="173">
        <v>1651.1</v>
      </c>
      <c r="N79" s="176">
        <v>4349.6000000000004</v>
      </c>
      <c r="O79" s="192">
        <v>2005</v>
      </c>
      <c r="P79" s="193">
        <v>2005</v>
      </c>
      <c r="Q79"/>
      <c r="S79" s="37"/>
      <c r="U79" s="8"/>
      <c r="Z79" s="8"/>
    </row>
    <row r="80" spans="2:26" s="10" customFormat="1" ht="48.75" customHeight="1">
      <c r="B80" s="8"/>
      <c r="C80" s="167">
        <f t="shared" si="3"/>
        <v>14109.7</v>
      </c>
      <c r="D80" s="168">
        <f t="shared" si="4"/>
        <v>6701.5999999999995</v>
      </c>
      <c r="E80" s="169">
        <v>-5047.7</v>
      </c>
      <c r="F80" s="169">
        <v>214.4</v>
      </c>
      <c r="G80" s="169">
        <v>9546.4</v>
      </c>
      <c r="H80" s="168">
        <f t="shared" si="5"/>
        <v>1988.5</v>
      </c>
      <c r="I80" s="169">
        <v>520.70000000000005</v>
      </c>
      <c r="J80" s="169">
        <v>-365.8</v>
      </c>
      <c r="K80" s="169">
        <v>1833.6</v>
      </c>
      <c r="L80" s="177">
        <f t="shared" si="6"/>
        <v>7408.1</v>
      </c>
      <c r="M80" s="169">
        <v>1987.5</v>
      </c>
      <c r="N80" s="170">
        <v>5420.6</v>
      </c>
      <c r="O80" s="188">
        <v>2006</v>
      </c>
      <c r="P80" s="189">
        <v>2006</v>
      </c>
      <c r="Q80"/>
      <c r="S80" s="37"/>
      <c r="Z80" s="8"/>
    </row>
    <row r="81" spans="2:26" s="10" customFormat="1" ht="48.75" customHeight="1">
      <c r="B81" s="8"/>
      <c r="C81" s="171">
        <f t="shared" si="3"/>
        <v>15606.9</v>
      </c>
      <c r="D81" s="172">
        <f t="shared" si="4"/>
        <v>7740.0999999999995</v>
      </c>
      <c r="E81" s="173">
        <v>-6265.8</v>
      </c>
      <c r="F81" s="173">
        <v>277</v>
      </c>
      <c r="G81" s="173">
        <v>11003.3</v>
      </c>
      <c r="H81" s="172">
        <f t="shared" si="5"/>
        <v>2725.6000000000004</v>
      </c>
      <c r="I81" s="173">
        <v>625.70000000000005</v>
      </c>
      <c r="J81" s="173">
        <v>-120.7</v>
      </c>
      <c r="K81" s="174">
        <v>2220.6</v>
      </c>
      <c r="L81" s="175">
        <f t="shared" si="6"/>
        <v>7866.8</v>
      </c>
      <c r="M81" s="173">
        <v>1723.3</v>
      </c>
      <c r="N81" s="176">
        <v>6143.5</v>
      </c>
      <c r="O81" s="192">
        <v>2007</v>
      </c>
      <c r="P81" s="193">
        <v>2007</v>
      </c>
      <c r="Q81"/>
      <c r="S81" s="37"/>
      <c r="Z81" s="8"/>
    </row>
    <row r="82" spans="2:26" s="10" customFormat="1" ht="48.75" customHeight="1">
      <c r="B82" s="8"/>
      <c r="C82" s="167">
        <f t="shared" si="3"/>
        <v>18304.2</v>
      </c>
      <c r="D82" s="168">
        <f t="shared" si="4"/>
        <v>11202.900000000001</v>
      </c>
      <c r="E82" s="169">
        <v>-6438.8</v>
      </c>
      <c r="F82" s="169">
        <v>335.1</v>
      </c>
      <c r="G82" s="169">
        <v>12533.5</v>
      </c>
      <c r="H82" s="168">
        <f t="shared" si="5"/>
        <v>4773.1000000000004</v>
      </c>
      <c r="I82" s="169">
        <v>652.6</v>
      </c>
      <c r="J82" s="169">
        <v>-86.4</v>
      </c>
      <c r="K82" s="178">
        <v>4206.8999999999996</v>
      </c>
      <c r="L82" s="177">
        <f t="shared" si="6"/>
        <v>7101.3</v>
      </c>
      <c r="M82" s="169">
        <v>288</v>
      </c>
      <c r="N82" s="170">
        <v>6813.3</v>
      </c>
      <c r="O82" s="188">
        <v>2008</v>
      </c>
      <c r="P82" s="189">
        <v>2008</v>
      </c>
      <c r="Q82"/>
      <c r="S82" s="37"/>
      <c r="Z82" s="8"/>
    </row>
    <row r="83" spans="2:26" s="10" customFormat="1" ht="48.75" customHeight="1">
      <c r="B83" s="8"/>
      <c r="C83" s="171">
        <f t="shared" si="3"/>
        <v>20013.3</v>
      </c>
      <c r="D83" s="172">
        <f t="shared" si="4"/>
        <v>11131.9</v>
      </c>
      <c r="E83" s="173">
        <v>-6900</v>
      </c>
      <c r="F83" s="173">
        <v>237.7</v>
      </c>
      <c r="G83" s="173">
        <v>12693.4</v>
      </c>
      <c r="H83" s="172">
        <f t="shared" si="5"/>
        <v>5100.8</v>
      </c>
      <c r="I83" s="173">
        <v>482</v>
      </c>
      <c r="J83" s="173">
        <v>-189.9</v>
      </c>
      <c r="K83" s="174">
        <v>4808.7</v>
      </c>
      <c r="L83" s="175">
        <f>M83+N83</f>
        <v>8881.4</v>
      </c>
      <c r="M83" s="173">
        <v>-365.1</v>
      </c>
      <c r="N83" s="176">
        <v>9246.5</v>
      </c>
      <c r="O83" s="192">
        <v>2009</v>
      </c>
      <c r="P83" s="193">
        <v>2009</v>
      </c>
      <c r="Q83"/>
      <c r="S83" s="37"/>
      <c r="T83" s="8"/>
      <c r="Z83" s="8"/>
    </row>
    <row r="84" spans="2:26" s="10" customFormat="1" ht="48.75" customHeight="1">
      <c r="B84" s="8"/>
      <c r="C84" s="167">
        <f t="shared" si="3"/>
        <v>22306.7</v>
      </c>
      <c r="D84" s="168">
        <f t="shared" si="4"/>
        <v>12228.2</v>
      </c>
      <c r="E84" s="169">
        <v>-7030.9</v>
      </c>
      <c r="F84" s="169">
        <v>222.8</v>
      </c>
      <c r="G84" s="169">
        <v>13612.7</v>
      </c>
      <c r="H84" s="168">
        <f t="shared" si="5"/>
        <v>5423.5999999999995</v>
      </c>
      <c r="I84" s="169">
        <v>516.5</v>
      </c>
      <c r="J84" s="169">
        <v>-126.6</v>
      </c>
      <c r="K84" s="178">
        <v>5033.7</v>
      </c>
      <c r="L84" s="177">
        <f>M84+N84</f>
        <v>10078.5</v>
      </c>
      <c r="M84" s="169">
        <v>113.7</v>
      </c>
      <c r="N84" s="170">
        <v>9964.7999999999993</v>
      </c>
      <c r="O84" s="188">
        <v>2010</v>
      </c>
      <c r="P84" s="189">
        <v>2010</v>
      </c>
      <c r="Q84"/>
      <c r="S84" s="37"/>
      <c r="T84" s="8"/>
      <c r="Z84" s="8"/>
    </row>
    <row r="85" spans="2:26" s="10" customFormat="1" ht="48.75" customHeight="1">
      <c r="B85" s="8"/>
      <c r="C85" s="171">
        <f t="shared" si="3"/>
        <v>24118.9</v>
      </c>
      <c r="D85" s="172">
        <f t="shared" si="4"/>
        <v>14748.8</v>
      </c>
      <c r="E85" s="173">
        <v>-7595.8</v>
      </c>
      <c r="F85" s="173">
        <v>204.5</v>
      </c>
      <c r="G85" s="173">
        <v>14924.8</v>
      </c>
      <c r="H85" s="172">
        <f t="shared" si="5"/>
        <v>7215.3</v>
      </c>
      <c r="I85" s="173">
        <v>513.79999999999995</v>
      </c>
      <c r="J85" s="173">
        <v>410.1</v>
      </c>
      <c r="K85" s="174">
        <v>6291.4</v>
      </c>
      <c r="L85" s="175">
        <f t="shared" si="6"/>
        <v>9370.1</v>
      </c>
      <c r="M85" s="173">
        <v>122</v>
      </c>
      <c r="N85" s="176">
        <v>9248.1</v>
      </c>
      <c r="O85" s="192">
        <v>2011</v>
      </c>
      <c r="P85" s="193">
        <v>2011</v>
      </c>
      <c r="Q85"/>
      <c r="S85" s="37"/>
      <c r="T85" s="8"/>
      <c r="Z85" s="8"/>
    </row>
    <row r="86" spans="2:26" s="10" customFormat="1" ht="48.75" customHeight="1">
      <c r="B86" s="8"/>
      <c r="C86" s="167">
        <f t="shared" si="3"/>
        <v>24945.1</v>
      </c>
      <c r="D86" s="168">
        <f t="shared" si="4"/>
        <v>18279.599999999999</v>
      </c>
      <c r="E86" s="169">
        <v>-7822.8</v>
      </c>
      <c r="F86" s="169">
        <v>204.1</v>
      </c>
      <c r="G86" s="169">
        <v>15953.5</v>
      </c>
      <c r="H86" s="168">
        <v>9944.7999999999993</v>
      </c>
      <c r="I86" s="169">
        <v>483.5</v>
      </c>
      <c r="J86" s="169">
        <v>1656</v>
      </c>
      <c r="K86" s="178">
        <v>7805.3</v>
      </c>
      <c r="L86" s="177">
        <f t="shared" ref="L86:L95" si="7">M86+N86</f>
        <v>6665.5</v>
      </c>
      <c r="M86" s="169">
        <v>525.79999999999995</v>
      </c>
      <c r="N86" s="170">
        <v>6139.7</v>
      </c>
      <c r="O86" s="188">
        <v>2012</v>
      </c>
      <c r="P86" s="189">
        <v>2012</v>
      </c>
      <c r="Q86"/>
      <c r="S86" s="37"/>
      <c r="T86" s="8"/>
      <c r="Z86" s="8"/>
    </row>
    <row r="87" spans="2:26" s="10" customFormat="1" ht="48.75" customHeight="1">
      <c r="B87" s="8"/>
      <c r="C87" s="171">
        <f t="shared" ref="C87:C95" si="8">D87+L87</f>
        <v>27363.4</v>
      </c>
      <c r="D87" s="172">
        <f t="shared" si="4"/>
        <v>20440</v>
      </c>
      <c r="E87" s="173">
        <v>-7908.2</v>
      </c>
      <c r="F87" s="173">
        <v>166.6</v>
      </c>
      <c r="G87" s="173">
        <v>17222.5</v>
      </c>
      <c r="H87" s="172">
        <f t="shared" si="5"/>
        <v>10959.099999999999</v>
      </c>
      <c r="I87" s="173">
        <v>464.3</v>
      </c>
      <c r="J87" s="173">
        <v>1490.3</v>
      </c>
      <c r="K87" s="174">
        <v>9004.5</v>
      </c>
      <c r="L87" s="175">
        <f t="shared" si="7"/>
        <v>6923.4</v>
      </c>
      <c r="M87" s="173">
        <v>-1564</v>
      </c>
      <c r="N87" s="176">
        <v>8487.4</v>
      </c>
      <c r="O87" s="192">
        <v>2013</v>
      </c>
      <c r="P87" s="193">
        <v>2013</v>
      </c>
      <c r="Q87"/>
      <c r="S87" s="37"/>
      <c r="T87" s="8"/>
      <c r="Z87" s="8"/>
    </row>
    <row r="88" spans="2:26" s="10" customFormat="1" ht="48.75" customHeight="1">
      <c r="B88" s="8"/>
      <c r="C88" s="167">
        <f t="shared" si="8"/>
        <v>29240.399999999998</v>
      </c>
      <c r="D88" s="168">
        <f t="shared" ref="D88:D95" si="9">E88+F88+G88+H88</f>
        <v>21308.1</v>
      </c>
      <c r="E88" s="169">
        <v>-7566.4</v>
      </c>
      <c r="F88" s="169">
        <v>167.4</v>
      </c>
      <c r="G88" s="169">
        <v>17852.8</v>
      </c>
      <c r="H88" s="168">
        <f t="shared" ref="H88:H95" si="10">K88+J88+I88</f>
        <v>10854.3</v>
      </c>
      <c r="I88" s="169">
        <v>380.4</v>
      </c>
      <c r="J88" s="169">
        <v>1208.4000000000001</v>
      </c>
      <c r="K88" s="178">
        <v>9265.5</v>
      </c>
      <c r="L88" s="177">
        <f t="shared" si="7"/>
        <v>7932.3</v>
      </c>
      <c r="M88" s="169">
        <v>-2007.2</v>
      </c>
      <c r="N88" s="170">
        <v>9939.5</v>
      </c>
      <c r="O88" s="188">
        <v>2014</v>
      </c>
      <c r="P88" s="189">
        <v>2013</v>
      </c>
      <c r="Q88"/>
      <c r="S88" s="37"/>
      <c r="T88" s="8"/>
      <c r="Z88" s="8"/>
    </row>
    <row r="89" spans="2:26" s="10" customFormat="1" ht="48.75" customHeight="1">
      <c r="B89" s="8"/>
      <c r="C89" s="171">
        <f t="shared" si="8"/>
        <v>31605.5</v>
      </c>
      <c r="D89" s="172">
        <f t="shared" si="9"/>
        <v>23468.199999999997</v>
      </c>
      <c r="E89" s="173">
        <v>-7141.8</v>
      </c>
      <c r="F89" s="173">
        <v>165.7</v>
      </c>
      <c r="G89" s="173">
        <v>18704.5</v>
      </c>
      <c r="H89" s="172">
        <f t="shared" si="10"/>
        <v>11739.8</v>
      </c>
      <c r="I89" s="173">
        <v>353.4</v>
      </c>
      <c r="J89" s="173">
        <v>2212.9</v>
      </c>
      <c r="K89" s="174">
        <v>9173.5</v>
      </c>
      <c r="L89" s="175">
        <f t="shared" si="7"/>
        <v>8137.3000000000011</v>
      </c>
      <c r="M89" s="173">
        <v>-1986.9</v>
      </c>
      <c r="N89" s="176">
        <v>10124.200000000001</v>
      </c>
      <c r="O89" s="192">
        <v>2015</v>
      </c>
      <c r="P89" s="193"/>
      <c r="Q89"/>
      <c r="S89" s="37"/>
      <c r="T89" s="8"/>
      <c r="Z89" s="8"/>
    </row>
    <row r="90" spans="2:26" s="10" customFormat="1" ht="48.75" customHeight="1">
      <c r="B90" s="8"/>
      <c r="C90" s="167">
        <f t="shared" si="8"/>
        <v>32876.199999999997</v>
      </c>
      <c r="D90" s="168">
        <f t="shared" si="9"/>
        <v>24030.799999999999</v>
      </c>
      <c r="E90" s="169">
        <v>-7838.4</v>
      </c>
      <c r="F90" s="169">
        <v>279.8</v>
      </c>
      <c r="G90" s="169">
        <v>20590.3</v>
      </c>
      <c r="H90" s="168">
        <f t="shared" si="10"/>
        <v>10999.099999999999</v>
      </c>
      <c r="I90" s="169">
        <v>545.29999999999995</v>
      </c>
      <c r="J90" s="169">
        <v>2208.9</v>
      </c>
      <c r="K90" s="178">
        <v>8244.9</v>
      </c>
      <c r="L90" s="177">
        <f t="shared" si="7"/>
        <v>8845.4</v>
      </c>
      <c r="M90" s="169">
        <v>-986.1</v>
      </c>
      <c r="N90" s="170">
        <v>9831.5</v>
      </c>
      <c r="O90" s="188">
        <v>2016</v>
      </c>
      <c r="P90" s="189"/>
      <c r="Q90"/>
      <c r="S90" s="37"/>
      <c r="T90" s="8"/>
      <c r="Z90" s="8"/>
    </row>
    <row r="91" spans="2:26" s="10" customFormat="1" ht="48.75" customHeight="1">
      <c r="B91" s="8"/>
      <c r="C91" s="171">
        <f t="shared" si="8"/>
        <v>32957.599999999999</v>
      </c>
      <c r="D91" s="172">
        <f t="shared" si="9"/>
        <v>23835</v>
      </c>
      <c r="E91" s="173">
        <v>-9177.7000000000007</v>
      </c>
      <c r="F91" s="173">
        <v>497.2</v>
      </c>
      <c r="G91" s="173">
        <v>22525.8</v>
      </c>
      <c r="H91" s="172">
        <f t="shared" si="10"/>
        <v>9989.7000000000007</v>
      </c>
      <c r="I91" s="173">
        <v>640</v>
      </c>
      <c r="J91" s="173">
        <v>2007.5</v>
      </c>
      <c r="K91" s="174">
        <v>7342.2</v>
      </c>
      <c r="L91" s="175">
        <f>M91+N91</f>
        <v>9122.6</v>
      </c>
      <c r="M91" s="173">
        <v>-1137.4000000000001</v>
      </c>
      <c r="N91" s="176">
        <v>10260</v>
      </c>
      <c r="O91" s="192">
        <v>2017</v>
      </c>
      <c r="P91" s="193"/>
      <c r="Q91"/>
      <c r="S91" s="37"/>
      <c r="T91" s="8"/>
      <c r="Z91" s="8"/>
    </row>
    <row r="92" spans="2:26" s="10" customFormat="1" ht="48.75" customHeight="1">
      <c r="B92" s="8"/>
      <c r="C92" s="167">
        <f t="shared" ref="C92:C94" si="11">D92+L92</f>
        <v>33359.300000000003</v>
      </c>
      <c r="D92" s="168">
        <f t="shared" si="9"/>
        <v>25991</v>
      </c>
      <c r="E92" s="169">
        <v>-9253.7000000000007</v>
      </c>
      <c r="F92" s="169">
        <v>625.70000000000005</v>
      </c>
      <c r="G92" s="169">
        <v>23709.599999999999</v>
      </c>
      <c r="H92" s="168">
        <f t="shared" si="10"/>
        <v>10909.4</v>
      </c>
      <c r="I92" s="169">
        <v>796.9</v>
      </c>
      <c r="J92" s="169">
        <v>1993.9</v>
      </c>
      <c r="K92" s="178">
        <v>8118.6</v>
      </c>
      <c r="L92" s="177">
        <f t="shared" ref="L92:L94" si="12">M92+N92</f>
        <v>7368.2999999999993</v>
      </c>
      <c r="M92" s="169">
        <v>-1783</v>
      </c>
      <c r="N92" s="170">
        <v>9151.2999999999993</v>
      </c>
      <c r="O92" s="188">
        <v>2018</v>
      </c>
      <c r="P92" s="189"/>
      <c r="Q92"/>
      <c r="S92" s="37"/>
      <c r="T92" s="8"/>
      <c r="Z92" s="8"/>
    </row>
    <row r="93" spans="2:26" s="10" customFormat="1" ht="48.75" customHeight="1">
      <c r="B93" s="8"/>
      <c r="C93" s="171">
        <f t="shared" si="11"/>
        <v>34969.699999999997</v>
      </c>
      <c r="D93" s="172">
        <f t="shared" ref="D93:D94" si="13">E93+F93+G93+H93</f>
        <v>27462.3</v>
      </c>
      <c r="E93" s="173">
        <v>-10062.9</v>
      </c>
      <c r="F93" s="173">
        <v>853.8</v>
      </c>
      <c r="G93" s="173">
        <v>24765.7</v>
      </c>
      <c r="H93" s="172">
        <f t="shared" ref="H93:H94" si="14">K93+J93+I93</f>
        <v>11905.699999999999</v>
      </c>
      <c r="I93" s="173">
        <v>801</v>
      </c>
      <c r="J93" s="173">
        <v>1874.4</v>
      </c>
      <c r="K93" s="174">
        <v>9230.2999999999993</v>
      </c>
      <c r="L93" s="175">
        <f t="shared" si="12"/>
        <v>7507.4</v>
      </c>
      <c r="M93" s="173">
        <v>-2467.4</v>
      </c>
      <c r="N93" s="176">
        <v>9974.7999999999993</v>
      </c>
      <c r="O93" s="192">
        <v>2019</v>
      </c>
      <c r="P93" s="193"/>
      <c r="Q93"/>
      <c r="S93" s="37"/>
      <c r="T93" s="8"/>
      <c r="Z93" s="8"/>
    </row>
    <row r="94" spans="2:26" s="10" customFormat="1" ht="48.75" customHeight="1">
      <c r="B94" s="8"/>
      <c r="C94" s="167">
        <f t="shared" si="11"/>
        <v>37011.899999999994</v>
      </c>
      <c r="D94" s="168">
        <f t="shared" si="13"/>
        <v>29449.899999999998</v>
      </c>
      <c r="E94" s="169">
        <v>-11132</v>
      </c>
      <c r="F94" s="169">
        <v>1363.6</v>
      </c>
      <c r="G94" s="169">
        <v>26261.5</v>
      </c>
      <c r="H94" s="168">
        <f t="shared" si="14"/>
        <v>12956.8</v>
      </c>
      <c r="I94" s="169">
        <v>865.9</v>
      </c>
      <c r="J94" s="169">
        <v>1847.4</v>
      </c>
      <c r="K94" s="178">
        <v>10243.5</v>
      </c>
      <c r="L94" s="177">
        <f t="shared" si="12"/>
        <v>7562</v>
      </c>
      <c r="M94" s="169">
        <v>-3236.6</v>
      </c>
      <c r="N94" s="170">
        <v>10798.6</v>
      </c>
      <c r="O94" s="188">
        <v>2020</v>
      </c>
      <c r="P94" s="189"/>
      <c r="Q94"/>
      <c r="S94" s="37"/>
      <c r="T94" s="8"/>
      <c r="Z94" s="8"/>
    </row>
    <row r="95" spans="2:26" s="10" customFormat="1" ht="48.75" customHeight="1">
      <c r="B95" s="8"/>
      <c r="C95" s="215">
        <f t="shared" si="8"/>
        <v>39509.199999999997</v>
      </c>
      <c r="D95" s="216">
        <f t="shared" si="9"/>
        <v>31690.400000000001</v>
      </c>
      <c r="E95" s="217">
        <v>-11710</v>
      </c>
      <c r="F95" s="217">
        <v>1339.5</v>
      </c>
      <c r="G95" s="217">
        <v>27559</v>
      </c>
      <c r="H95" s="216">
        <f t="shared" si="10"/>
        <v>14501.9</v>
      </c>
      <c r="I95" s="217">
        <v>1060.5</v>
      </c>
      <c r="J95" s="217">
        <v>1761</v>
      </c>
      <c r="K95" s="218">
        <v>11680.4</v>
      </c>
      <c r="L95" s="219">
        <f t="shared" si="7"/>
        <v>7818.7999999999993</v>
      </c>
      <c r="M95" s="217">
        <v>-4269.1000000000004</v>
      </c>
      <c r="N95" s="220">
        <v>12087.9</v>
      </c>
      <c r="O95" s="221">
        <v>2021</v>
      </c>
      <c r="P95" s="222"/>
      <c r="Q95"/>
      <c r="S95" s="37"/>
      <c r="T95" s="8"/>
      <c r="Z95" s="8"/>
    </row>
    <row r="96" spans="2:26" s="10" customFormat="1" ht="6" customHeight="1">
      <c r="B96" s="8"/>
      <c r="C96" s="179"/>
      <c r="D96" s="180"/>
      <c r="E96" s="179"/>
      <c r="F96" s="179"/>
      <c r="G96" s="179"/>
      <c r="H96" s="179"/>
      <c r="I96" s="181"/>
      <c r="J96" s="182"/>
      <c r="K96" s="179"/>
      <c r="L96" s="190"/>
      <c r="M96" s="190"/>
      <c r="N96" s="190"/>
      <c r="O96" s="190"/>
      <c r="P96" s="190"/>
      <c r="Q96"/>
      <c r="S96" s="37"/>
      <c r="T96" s="8"/>
      <c r="Z96" s="8"/>
    </row>
    <row r="97" spans="3:29" s="40" customFormat="1" ht="17.100000000000001" customHeight="1">
      <c r="C97" s="116" t="s">
        <v>110</v>
      </c>
      <c r="D97" s="183"/>
      <c r="E97" s="116"/>
      <c r="F97" s="116"/>
      <c r="G97" s="116"/>
      <c r="H97" s="116"/>
      <c r="I97" s="129"/>
      <c r="J97" s="184"/>
      <c r="K97" s="116"/>
      <c r="L97" s="186" t="s">
        <v>111</v>
      </c>
      <c r="M97" s="186"/>
      <c r="N97" s="186"/>
      <c r="O97" s="186"/>
      <c r="P97" s="186"/>
      <c r="Q97" s="42"/>
      <c r="R97" s="42"/>
      <c r="S97" s="41"/>
      <c r="T97" s="41"/>
      <c r="X97" s="41"/>
      <c r="Y97" s="41"/>
      <c r="Z97" s="41"/>
      <c r="AA97" s="41"/>
      <c r="AB97" s="41"/>
      <c r="AC97" s="41"/>
    </row>
    <row r="98" spans="3:29" s="40" customFormat="1" ht="17.100000000000001" customHeight="1">
      <c r="C98" s="116" t="s">
        <v>112</v>
      </c>
      <c r="D98" s="183"/>
      <c r="E98" s="116"/>
      <c r="F98" s="116"/>
      <c r="G98" s="116"/>
      <c r="H98" s="116"/>
      <c r="I98" s="129"/>
      <c r="J98" s="184"/>
      <c r="K98" s="116"/>
      <c r="L98" s="191" t="s">
        <v>113</v>
      </c>
      <c r="M98" s="191"/>
      <c r="N98" s="191"/>
      <c r="O98" s="191"/>
      <c r="P98" s="191"/>
      <c r="Q98" s="43"/>
      <c r="R98" s="43"/>
      <c r="S98" s="43"/>
      <c r="T98" s="43"/>
      <c r="X98" s="41"/>
      <c r="Y98" s="41"/>
      <c r="Z98" s="41"/>
    </row>
    <row r="99" spans="3:29" s="40" customFormat="1" ht="17.100000000000001" customHeight="1">
      <c r="C99" s="116" t="s">
        <v>114</v>
      </c>
      <c r="D99" s="116"/>
      <c r="E99" s="116"/>
      <c r="F99" s="116"/>
      <c r="G99" s="116"/>
      <c r="H99" s="116"/>
      <c r="I99" s="185"/>
      <c r="J99" s="184"/>
      <c r="K99" s="116"/>
      <c r="L99" s="186" t="s">
        <v>115</v>
      </c>
      <c r="M99" s="186"/>
      <c r="N99" s="186"/>
      <c r="O99" s="186"/>
      <c r="P99" s="186"/>
      <c r="Q99" s="43"/>
      <c r="R99" s="43"/>
      <c r="S99" s="44"/>
      <c r="T99" s="44"/>
    </row>
    <row r="100" spans="3:29" s="40" customFormat="1" ht="17.100000000000001" customHeight="1">
      <c r="C100" s="116" t="s">
        <v>116</v>
      </c>
      <c r="D100" s="116"/>
      <c r="E100" s="116"/>
      <c r="F100" s="116"/>
      <c r="G100" s="116"/>
      <c r="H100" s="116"/>
      <c r="I100" s="185"/>
      <c r="J100" s="184"/>
      <c r="K100" s="116"/>
      <c r="L100" s="191" t="s">
        <v>117</v>
      </c>
      <c r="M100" s="191"/>
      <c r="N100" s="191"/>
      <c r="O100" s="191"/>
      <c r="P100" s="191"/>
      <c r="Q100" s="43"/>
      <c r="R100" s="43"/>
      <c r="S100" s="44"/>
      <c r="T100" s="44"/>
    </row>
    <row r="101" spans="3:29" s="40" customFormat="1" ht="17.100000000000001" customHeight="1">
      <c r="C101" s="187" t="s">
        <v>118</v>
      </c>
      <c r="D101" s="187"/>
      <c r="E101" s="187"/>
      <c r="F101" s="187"/>
      <c r="G101" s="187"/>
      <c r="H101" s="187"/>
      <c r="I101" s="185"/>
      <c r="J101" s="184"/>
      <c r="K101" s="186" t="s">
        <v>119</v>
      </c>
      <c r="L101" s="186"/>
      <c r="M101" s="186"/>
      <c r="N101" s="186"/>
      <c r="O101" s="186"/>
      <c r="P101" s="186"/>
      <c r="Q101" s="42"/>
      <c r="R101" s="42"/>
      <c r="S101" s="44"/>
      <c r="T101" s="44"/>
    </row>
    <row r="102" spans="3:29" s="40" customFormat="1" ht="17.100000000000001" customHeight="1">
      <c r="C102" s="116" t="s">
        <v>120</v>
      </c>
      <c r="D102" s="183"/>
      <c r="E102" s="116"/>
      <c r="F102" s="116"/>
      <c r="G102" s="116"/>
      <c r="H102" s="116"/>
      <c r="I102" s="129"/>
      <c r="J102" s="184"/>
      <c r="K102" s="116"/>
      <c r="L102" s="186" t="s">
        <v>121</v>
      </c>
      <c r="M102" s="186"/>
      <c r="N102" s="186"/>
      <c r="O102" s="186"/>
      <c r="P102" s="186"/>
      <c r="Q102" s="42"/>
      <c r="R102" s="42"/>
      <c r="S102" s="44"/>
      <c r="T102" s="44"/>
    </row>
    <row r="103" spans="3:29" s="30" customFormat="1" ht="15" customHeight="1">
      <c r="C103" s="1"/>
      <c r="D103" s="1"/>
      <c r="E103" s="1"/>
      <c r="F103" s="1"/>
      <c r="G103" s="1"/>
      <c r="H103" s="1"/>
      <c r="I103" s="2"/>
      <c r="J103" s="5"/>
      <c r="K103" s="1"/>
      <c r="L103" s="1"/>
      <c r="M103" s="1"/>
      <c r="N103" s="3"/>
      <c r="O103" s="4"/>
      <c r="P103" s="4"/>
      <c r="S103" s="32"/>
      <c r="T103" s="32"/>
    </row>
    <row r="104" spans="3:29" s="30" customFormat="1">
      <c r="C104" s="1"/>
      <c r="D104" s="1"/>
      <c r="E104" s="1"/>
      <c r="F104" s="1"/>
      <c r="G104" s="1"/>
      <c r="H104" s="1"/>
      <c r="I104" s="2"/>
      <c r="J104" s="5"/>
      <c r="K104" s="1"/>
      <c r="L104" s="1"/>
      <c r="M104" s="1"/>
      <c r="N104" s="3"/>
      <c r="O104" s="4"/>
      <c r="P104" s="4"/>
      <c r="Q104" s="31"/>
      <c r="R104" s="31"/>
      <c r="S104" s="32"/>
      <c r="T104" s="32"/>
    </row>
    <row r="105" spans="3:29">
      <c r="S105" s="33"/>
      <c r="T105" s="33"/>
    </row>
    <row r="106" spans="3:29">
      <c r="Q106" s="34"/>
      <c r="R106" s="34"/>
    </row>
    <row r="107" spans="3:29">
      <c r="Q107" s="34"/>
      <c r="R107" s="34"/>
    </row>
    <row r="108" spans="3:29">
      <c r="Q108" s="35"/>
      <c r="R108" s="35"/>
      <c r="T108" s="33"/>
    </row>
    <row r="109" spans="3:29">
      <c r="Q109" s="35"/>
      <c r="R109" s="35"/>
      <c r="T109" s="33"/>
    </row>
    <row r="110" spans="3:29">
      <c r="Q110" s="35"/>
      <c r="R110" s="35"/>
      <c r="T110" s="33"/>
    </row>
    <row r="111" spans="3:29">
      <c r="Q111" s="35"/>
      <c r="R111" s="35"/>
      <c r="T111" s="33"/>
      <c r="U111" s="33"/>
    </row>
    <row r="112" spans="3:29">
      <c r="Q112" s="36"/>
      <c r="R112" s="36"/>
      <c r="T112" s="33"/>
      <c r="U112" s="33"/>
    </row>
    <row r="113" spans="17:21">
      <c r="Q113" s="35"/>
      <c r="R113" s="35"/>
      <c r="T113" s="33"/>
      <c r="U113" s="33"/>
    </row>
    <row r="114" spans="17:21">
      <c r="Q114" s="35"/>
      <c r="R114" s="35"/>
    </row>
    <row r="115" spans="17:21">
      <c r="Q115" s="34"/>
      <c r="R115" s="34"/>
    </row>
    <row r="116" spans="17:21">
      <c r="Q116" s="34"/>
      <c r="R116" s="34"/>
    </row>
    <row r="117" spans="17:21">
      <c r="Q117" s="35"/>
      <c r="R117" s="35"/>
    </row>
    <row r="118" spans="17:21">
      <c r="Q118" s="35"/>
      <c r="R118" s="35"/>
    </row>
    <row r="119" spans="17:21">
      <c r="Q119" s="34"/>
      <c r="R119" s="34"/>
    </row>
    <row r="120" spans="17:21">
      <c r="Q120" s="34"/>
      <c r="R120" s="34"/>
    </row>
    <row r="121" spans="17:21">
      <c r="Q121" s="34"/>
      <c r="R121" s="34"/>
    </row>
  </sheetData>
  <mergeCells count="85">
    <mergeCell ref="N26:P26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42:P42"/>
    <mergeCell ref="N43:P43"/>
    <mergeCell ref="N31:P31"/>
    <mergeCell ref="N32:P32"/>
    <mergeCell ref="N33:P33"/>
    <mergeCell ref="N44:P44"/>
    <mergeCell ref="N38:P38"/>
    <mergeCell ref="N39:P39"/>
    <mergeCell ref="C4:P4"/>
    <mergeCell ref="C3:P3"/>
    <mergeCell ref="O5:P5"/>
    <mergeCell ref="N34:P34"/>
    <mergeCell ref="N35:P35"/>
    <mergeCell ref="N36:P36"/>
    <mergeCell ref="N27:P27"/>
    <mergeCell ref="N28:P28"/>
    <mergeCell ref="N29:P29"/>
    <mergeCell ref="N30:P30"/>
    <mergeCell ref="N37:P37"/>
    <mergeCell ref="N40:P40"/>
    <mergeCell ref="N41:P41"/>
    <mergeCell ref="C50:P50"/>
    <mergeCell ref="C51:P51"/>
    <mergeCell ref="L54:N54"/>
    <mergeCell ref="H55:K55"/>
    <mergeCell ref="L55:N55"/>
    <mergeCell ref="H56:K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8:P88"/>
    <mergeCell ref="O89:P89"/>
    <mergeCell ref="O81:P81"/>
    <mergeCell ref="O82:P82"/>
    <mergeCell ref="O83:P83"/>
    <mergeCell ref="O84:P84"/>
    <mergeCell ref="O85:P85"/>
    <mergeCell ref="O86:P86"/>
    <mergeCell ref="O87:P87"/>
    <mergeCell ref="K101:P101"/>
    <mergeCell ref="C101:H101"/>
    <mergeCell ref="O95:P95"/>
    <mergeCell ref="O90:P90"/>
    <mergeCell ref="L102:P102"/>
    <mergeCell ref="L96:P96"/>
    <mergeCell ref="L97:P97"/>
    <mergeCell ref="L98:P98"/>
    <mergeCell ref="L99:P99"/>
    <mergeCell ref="O92:P92"/>
    <mergeCell ref="L100:P100"/>
    <mergeCell ref="O91:P91"/>
    <mergeCell ref="O93:P93"/>
    <mergeCell ref="O94:P94"/>
  </mergeCells>
  <phoneticPr fontId="0" type="noConversion"/>
  <printOptions horizontalCentered="1" verticalCentered="1"/>
  <pageMargins left="0.62992125984251968" right="0.55118110236220474" top="0" bottom="1.9685039370078741" header="0.51181102362204722" footer="0.51181102362204722"/>
  <pageSetup paperSize="9" scale="40" orientation="portrait" r:id="rId1"/>
  <headerFooter alignWithMargins="0">
    <oddFooter>&amp;C&amp;"+,Regular"&amp;22-6-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</vt:lpstr>
      <vt:lpstr>Database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Wael I. Elmahadin</cp:lastModifiedBy>
  <cp:lastPrinted>2018-01-29T06:38:25Z</cp:lastPrinted>
  <dcterms:created xsi:type="dcterms:W3CDTF">2006-02-02T16:13:53Z</dcterms:created>
  <dcterms:modified xsi:type="dcterms:W3CDTF">2022-06-09T08:29:52Z</dcterms:modified>
</cp:coreProperties>
</file>